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19425" windowHeight="11025" tabRatio="804" firstSheet="7" activeTab="7"/>
  </bookViews>
  <sheets>
    <sheet name="Kharif-2023" sheetId="14" state="hidden" r:id="rId1"/>
    <sheet name="Sheet2 (2)" sheetId="26" state="hidden" r:id="rId2"/>
    <sheet name="Consolidated Rabi -24" sheetId="32" state="hidden" r:id="rId3"/>
    <sheet name="Sheet2" sheetId="28" state="hidden" r:id="rId4"/>
    <sheet name="Sheet3" sheetId="29" state="hidden" r:id="rId5"/>
    <sheet name="Consolidated Rabi -2024" sheetId="33" state="hidden" r:id="rId6"/>
    <sheet name="Consolidated Rabi -24 (3)" sheetId="34" state="hidden" r:id="rId7"/>
    <sheet name="Consolidated Kharif-2024" sheetId="35" r:id="rId8"/>
    <sheet name="Consolidated Rabi -2025" sheetId="41" r:id="rId9"/>
    <sheet name="Soyabean -24" sheetId="36" state="hidden" r:id="rId10"/>
    <sheet name="Soyabean -24 (2)" sheetId="38" state="hidden" r:id="rId11"/>
    <sheet name="Soyabean -24 (3)" sheetId="39" state="hidden" r:id="rId12"/>
    <sheet name="Consolidated Kharif -23 " sheetId="16" state="hidden" r:id="rId13"/>
    <sheet name="Sheet1" sheetId="42" state="hidden" r:id="rId14"/>
    <sheet name="Sheet4" sheetId="43" r:id="rId15"/>
    <sheet name="Sheet5" sheetId="44" r:id="rId16"/>
  </sheets>
  <definedNames>
    <definedName name="_xlnm._FilterDatabase" localSheetId="12" hidden="1">'Consolidated Kharif -23 '!$D$6:$H$57</definedName>
    <definedName name="_xlnm._FilterDatabase" localSheetId="7" hidden="1">'Consolidated Kharif-2024'!$D$5:$D$59</definedName>
    <definedName name="_xlnm._FilterDatabase" localSheetId="5" hidden="1">'Consolidated Rabi -2024'!$B$4:$D$83</definedName>
    <definedName name="_xlnm._FilterDatabase" localSheetId="8" hidden="1">'Consolidated Rabi -2025'!$D$4:$D$51</definedName>
    <definedName name="_xlnm._FilterDatabase" localSheetId="2" hidden="1">'Consolidated Rabi -24'!$D$14:$H$57</definedName>
    <definedName name="_xlnm._FilterDatabase" localSheetId="6" hidden="1">'Consolidated Rabi -24 (3)'!$D$5:$H$11</definedName>
    <definedName name="_xlnm._FilterDatabase" localSheetId="9" hidden="1">'Soyabean -24'!$B$4:$D$12</definedName>
    <definedName name="_xlnm._FilterDatabase" localSheetId="10" hidden="1">'Soyabean -24 (2)'!$B$4:$D$16</definedName>
    <definedName name="_xlnm._FilterDatabase" localSheetId="11" hidden="1">'Soyabean -24 (3)'!$B$4:$D$12</definedName>
    <definedName name="_xlnm.Print_Area" localSheetId="12">'Consolidated Kharif -23 '!$B$2:$J$58</definedName>
    <definedName name="_xlnm.Print_Area" localSheetId="7">'Consolidated Kharif-2024'!$B$1:$F$59</definedName>
    <definedName name="_xlnm.Print_Area" localSheetId="5">'Consolidated Rabi -2024'!$B$1:$M$91</definedName>
    <definedName name="_xlnm.Print_Area" localSheetId="8">'Consolidated Rabi -2025'!$B$1:$E$51</definedName>
    <definedName name="_xlnm.Print_Area" localSheetId="2">'Consolidated Rabi -24'!$B$2:$K$64</definedName>
    <definedName name="_xlnm.Print_Area" localSheetId="6">'Consolidated Rabi -24 (3)'!$B$2:$K$11</definedName>
    <definedName name="_xlnm.Print_Area" localSheetId="0">'Kharif-2023'!$A$1:$S$74</definedName>
    <definedName name="_xlnm.Print_Area" localSheetId="9">'Soyabean -24'!$B$2:$P$23</definedName>
    <definedName name="_xlnm.Print_Area" localSheetId="10">'Soyabean -24 (2)'!$B$2:$P$27</definedName>
    <definedName name="_xlnm.Print_Area" localSheetId="11">'Soyabean -24 (3)'!$B$2:$M$13</definedName>
    <definedName name="_xlnm.Print_Titles" localSheetId="12">'Consolidated Kharif -23 '!$4:$4</definedName>
    <definedName name="_xlnm.Print_Titles" localSheetId="7">'Consolidated Kharif-2024'!$4:$4</definedName>
    <definedName name="_xlnm.Print_Titles" localSheetId="5">'Consolidated Rabi -2024'!$4:$4</definedName>
    <definedName name="_xlnm.Print_Titles" localSheetId="8">'Consolidated Rabi -2025'!$4:$4</definedName>
    <definedName name="_xlnm.Print_Titles" localSheetId="2">'Consolidated Rabi -24'!$4:$4</definedName>
    <definedName name="_xlnm.Print_Titles" localSheetId="6">'Consolidated Rabi -24 (3)'!$4:$4</definedName>
    <definedName name="_xlnm.Print_Titles" localSheetId="0">'Kharif-2023'!$6:$8</definedName>
    <definedName name="_xlnm.Print_Titles" localSheetId="9">'Soyabean -24'!$4:$4</definedName>
    <definedName name="_xlnm.Print_Titles" localSheetId="10">'Soyabean -24 (2)'!$4:$4</definedName>
    <definedName name="_xlnm.Print_Titles" localSheetId="11">'Soyabean -24 (3)'!$4:$4</definedName>
  </definedNames>
  <calcPr calcId="124519"/>
</workbook>
</file>

<file path=xl/calcChain.xml><?xml version="1.0" encoding="utf-8"?>
<calcChain xmlns="http://schemas.openxmlformats.org/spreadsheetml/2006/main">
  <c r="B3" i="41"/>
  <c r="E36"/>
  <c r="E21" l="1"/>
  <c r="E16" l="1"/>
  <c r="E15" i="35"/>
  <c r="A1" i="43" l="1"/>
  <c r="F28" i="42"/>
  <c r="E28"/>
  <c r="F17"/>
  <c r="E17"/>
  <c r="H41" i="16"/>
  <c r="G41"/>
  <c r="E41"/>
  <c r="K40"/>
  <c r="F40" s="1"/>
  <c r="F41" s="1"/>
  <c r="J40"/>
  <c r="J41" s="1"/>
  <c r="H39"/>
  <c r="G39"/>
  <c r="E39"/>
  <c r="K37"/>
  <c r="J37"/>
  <c r="J39" s="1"/>
  <c r="F37"/>
  <c r="F39" s="1"/>
  <c r="L36"/>
  <c r="H36"/>
  <c r="G36"/>
  <c r="E36"/>
  <c r="K35"/>
  <c r="F35" s="1"/>
  <c r="J35"/>
  <c r="K34"/>
  <c r="J34"/>
  <c r="F34"/>
  <c r="K33"/>
  <c r="J33"/>
  <c r="F33"/>
  <c r="K32"/>
  <c r="F32" s="1"/>
  <c r="J32"/>
  <c r="H31"/>
  <c r="G31"/>
  <c r="E31"/>
  <c r="K30"/>
  <c r="F30" s="1"/>
  <c r="J30"/>
  <c r="K29"/>
  <c r="F29" s="1"/>
  <c r="J29"/>
  <c r="K28"/>
  <c r="J28"/>
  <c r="F28"/>
  <c r="K27"/>
  <c r="F27" s="1"/>
  <c r="J27"/>
  <c r="J26"/>
  <c r="H26"/>
  <c r="G26"/>
  <c r="E26"/>
  <c r="J22"/>
  <c r="F22"/>
  <c r="F26" s="1"/>
  <c r="H21"/>
  <c r="G21"/>
  <c r="E21"/>
  <c r="K18"/>
  <c r="F18" s="1"/>
  <c r="J18"/>
  <c r="K17"/>
  <c r="F17" s="1"/>
  <c r="J17"/>
  <c r="K16"/>
  <c r="J16"/>
  <c r="F16"/>
  <c r="K15"/>
  <c r="F15" s="1"/>
  <c r="J15"/>
  <c r="K14"/>
  <c r="F14" s="1"/>
  <c r="J14"/>
  <c r="H13"/>
  <c r="F53" s="1"/>
  <c r="G13"/>
  <c r="E13"/>
  <c r="D53" s="1"/>
  <c r="K12"/>
  <c r="F12" s="1"/>
  <c r="J12"/>
  <c r="K11"/>
  <c r="F11" s="1"/>
  <c r="J11"/>
  <c r="K10"/>
  <c r="F10" s="1"/>
  <c r="J10"/>
  <c r="K9"/>
  <c r="F9" s="1"/>
  <c r="J9"/>
  <c r="K8"/>
  <c r="F8" s="1"/>
  <c r="J8"/>
  <c r="K7"/>
  <c r="F7" s="1"/>
  <c r="J7"/>
  <c r="K6"/>
  <c r="J6"/>
  <c r="J13" s="1"/>
  <c r="F6"/>
  <c r="B3"/>
  <c r="I12" i="39"/>
  <c r="H12"/>
  <c r="E12"/>
  <c r="O11"/>
  <c r="F11" s="1"/>
  <c r="K11"/>
  <c r="O10"/>
  <c r="F10" s="1"/>
  <c r="K10"/>
  <c r="O9"/>
  <c r="K9"/>
  <c r="F9"/>
  <c r="O8"/>
  <c r="F8" s="1"/>
  <c r="K8"/>
  <c r="O7"/>
  <c r="F7" s="1"/>
  <c r="K7"/>
  <c r="G6"/>
  <c r="G12" s="1"/>
  <c r="I27" i="38"/>
  <c r="H27"/>
  <c r="G27"/>
  <c r="E16"/>
  <c r="R15"/>
  <c r="N15"/>
  <c r="I15"/>
  <c r="R14"/>
  <c r="I14" s="1"/>
  <c r="N14"/>
  <c r="L13"/>
  <c r="L16" s="1"/>
  <c r="K13"/>
  <c r="K16" s="1"/>
  <c r="J13"/>
  <c r="J16" s="1"/>
  <c r="H13"/>
  <c r="H16" s="1"/>
  <c r="G13"/>
  <c r="G16" s="1"/>
  <c r="N12"/>
  <c r="I12"/>
  <c r="N11"/>
  <c r="I11"/>
  <c r="N10"/>
  <c r="I10"/>
  <c r="R9"/>
  <c r="I9" s="1"/>
  <c r="N9"/>
  <c r="R8"/>
  <c r="I8" s="1"/>
  <c r="N8"/>
  <c r="R7"/>
  <c r="N7"/>
  <c r="I7"/>
  <c r="R6"/>
  <c r="N6"/>
  <c r="I6"/>
  <c r="R5"/>
  <c r="I5" s="1"/>
  <c r="N5"/>
  <c r="I23" i="36"/>
  <c r="H23"/>
  <c r="G23"/>
  <c r="L12"/>
  <c r="K12"/>
  <c r="J12"/>
  <c r="H12"/>
  <c r="G12"/>
  <c r="E12"/>
  <c r="R11"/>
  <c r="I11" s="1"/>
  <c r="N11"/>
  <c r="R10"/>
  <c r="N10"/>
  <c r="I10"/>
  <c r="R9"/>
  <c r="I9" s="1"/>
  <c r="N9"/>
  <c r="R8"/>
  <c r="I8" s="1"/>
  <c r="N8"/>
  <c r="R7"/>
  <c r="N7"/>
  <c r="I7"/>
  <c r="R6"/>
  <c r="I6" s="1"/>
  <c r="N6"/>
  <c r="B3"/>
  <c r="E50" i="41"/>
  <c r="E38"/>
  <c r="E28"/>
  <c r="F21" i="16" l="1"/>
  <c r="I13" i="38"/>
  <c r="F13" i="16"/>
  <c r="E43"/>
  <c r="F36"/>
  <c r="F54"/>
  <c r="J36"/>
  <c r="E54"/>
  <c r="I16" i="38"/>
  <c r="G53" i="16"/>
  <c r="N12" i="36"/>
  <c r="O6" i="39"/>
  <c r="F6" s="1"/>
  <c r="N16" i="38"/>
  <c r="K6" i="39"/>
  <c r="K12" s="1"/>
  <c r="E53" i="16"/>
  <c r="J21"/>
  <c r="J31"/>
  <c r="J43" s="1"/>
  <c r="E44" i="41"/>
  <c r="E51" s="1"/>
  <c r="F12" i="39"/>
  <c r="F55" i="16"/>
  <c r="I12" i="36"/>
  <c r="E55" i="16"/>
  <c r="F31"/>
  <c r="D54"/>
  <c r="D55" s="1"/>
  <c r="H43"/>
  <c r="G43"/>
  <c r="E55" i="35"/>
  <c r="E53"/>
  <c r="E45"/>
  <c r="E37"/>
  <c r="E26"/>
  <c r="J19" i="34"/>
  <c r="I11"/>
  <c r="E11"/>
  <c r="N10"/>
  <c r="H10"/>
  <c r="G10"/>
  <c r="K10" s="1"/>
  <c r="N9"/>
  <c r="H9"/>
  <c r="G9"/>
  <c r="K9" s="1"/>
  <c r="N8"/>
  <c r="H8"/>
  <c r="G8"/>
  <c r="K8" s="1"/>
  <c r="N7"/>
  <c r="H7"/>
  <c r="G7"/>
  <c r="K7" s="1"/>
  <c r="N6"/>
  <c r="H6"/>
  <c r="G6"/>
  <c r="K6" s="1"/>
  <c r="N5"/>
  <c r="H5"/>
  <c r="H11" s="1"/>
  <c r="G5"/>
  <c r="B3"/>
  <c r="P82" i="33"/>
  <c r="K82"/>
  <c r="H82"/>
  <c r="G82"/>
  <c r="O81"/>
  <c r="F81" s="1"/>
  <c r="M81"/>
  <c r="O80"/>
  <c r="F80" s="1"/>
  <c r="M80"/>
  <c r="O79"/>
  <c r="M79"/>
  <c r="F79"/>
  <c r="O78"/>
  <c r="M78"/>
  <c r="F78"/>
  <c r="O77"/>
  <c r="F77" s="1"/>
  <c r="M77"/>
  <c r="O76"/>
  <c r="F76" s="1"/>
  <c r="M76"/>
  <c r="K74"/>
  <c r="H74"/>
  <c r="G74"/>
  <c r="M73"/>
  <c r="M72"/>
  <c r="F72"/>
  <c r="O71"/>
  <c r="M71"/>
  <c r="F71"/>
  <c r="F74" s="1"/>
  <c r="J67"/>
  <c r="J68" s="1"/>
  <c r="J69" s="1"/>
  <c r="I67"/>
  <c r="I68" s="1"/>
  <c r="H67"/>
  <c r="H68" s="1"/>
  <c r="G67"/>
  <c r="G68" s="1"/>
  <c r="G69" s="1"/>
  <c r="E67"/>
  <c r="E68" s="1"/>
  <c r="O65"/>
  <c r="M65"/>
  <c r="K65"/>
  <c r="F65"/>
  <c r="O64"/>
  <c r="M64"/>
  <c r="K64"/>
  <c r="F64"/>
  <c r="O63"/>
  <c r="M63"/>
  <c r="K63"/>
  <c r="K67" s="1"/>
  <c r="F63"/>
  <c r="F67" s="1"/>
  <c r="M62"/>
  <c r="I61"/>
  <c r="H61"/>
  <c r="G61"/>
  <c r="E61"/>
  <c r="M59"/>
  <c r="O58"/>
  <c r="F58" s="1"/>
  <c r="M58"/>
  <c r="K58"/>
  <c r="O57"/>
  <c r="F57" s="1"/>
  <c r="M57"/>
  <c r="K57"/>
  <c r="K61" s="1"/>
  <c r="I54"/>
  <c r="H54"/>
  <c r="G54"/>
  <c r="E54"/>
  <c r="O53"/>
  <c r="F53" s="1"/>
  <c r="F54" s="1"/>
  <c r="M53"/>
  <c r="K53"/>
  <c r="K54" s="1"/>
  <c r="I52"/>
  <c r="H52"/>
  <c r="G52"/>
  <c r="E52"/>
  <c r="O51"/>
  <c r="F51" s="1"/>
  <c r="M51"/>
  <c r="K51"/>
  <c r="O50"/>
  <c r="F50" s="1"/>
  <c r="K50"/>
  <c r="O49"/>
  <c r="F49" s="1"/>
  <c r="K49"/>
  <c r="I48"/>
  <c r="H48"/>
  <c r="G48"/>
  <c r="E48"/>
  <c r="O47"/>
  <c r="F47" s="1"/>
  <c r="M47"/>
  <c r="K47"/>
  <c r="O46"/>
  <c r="F46" s="1"/>
  <c r="M46"/>
  <c r="K46"/>
  <c r="K48" s="1"/>
  <c r="P45"/>
  <c r="I45"/>
  <c r="H45"/>
  <c r="G45"/>
  <c r="E88" s="1"/>
  <c r="E45"/>
  <c r="O44"/>
  <c r="F44" s="1"/>
  <c r="F10" i="34" s="1"/>
  <c r="M44" i="33"/>
  <c r="K44"/>
  <c r="O43"/>
  <c r="F43" s="1"/>
  <c r="F9" i="34" s="1"/>
  <c r="M43" i="33"/>
  <c r="K43"/>
  <c r="R42"/>
  <c r="O42"/>
  <c r="M42"/>
  <c r="K42"/>
  <c r="F42"/>
  <c r="F8" i="34" s="1"/>
  <c r="R41" i="33"/>
  <c r="O41"/>
  <c r="F41" s="1"/>
  <c r="F7" i="34" s="1"/>
  <c r="M41" i="33"/>
  <c r="K41"/>
  <c r="O40"/>
  <c r="F40" s="1"/>
  <c r="F6" i="34" s="1"/>
  <c r="M40" i="33"/>
  <c r="K40"/>
  <c r="O39"/>
  <c r="F39" s="1"/>
  <c r="F45" s="1"/>
  <c r="M39"/>
  <c r="K39"/>
  <c r="I38"/>
  <c r="H38"/>
  <c r="G38"/>
  <c r="E38"/>
  <c r="O37"/>
  <c r="F37" s="1"/>
  <c r="M37"/>
  <c r="K37"/>
  <c r="O36"/>
  <c r="F36" s="1"/>
  <c r="K36"/>
  <c r="O35"/>
  <c r="F35" s="1"/>
  <c r="M35"/>
  <c r="K35"/>
  <c r="O34"/>
  <c r="F34" s="1"/>
  <c r="F38" s="1"/>
  <c r="K34"/>
  <c r="K38" s="1"/>
  <c r="I33"/>
  <c r="H33"/>
  <c r="F87" s="1"/>
  <c r="G33"/>
  <c r="E33"/>
  <c r="O32"/>
  <c r="F32" s="1"/>
  <c r="K32"/>
  <c r="O31"/>
  <c r="F31" s="1"/>
  <c r="M31"/>
  <c r="K31"/>
  <c r="O30"/>
  <c r="F30" s="1"/>
  <c r="M30"/>
  <c r="K30"/>
  <c r="I29"/>
  <c r="H29"/>
  <c r="G29"/>
  <c r="E29"/>
  <c r="R28"/>
  <c r="R29" s="1"/>
  <c r="M27"/>
  <c r="M26"/>
  <c r="O25"/>
  <c r="F25" s="1"/>
  <c r="M25"/>
  <c r="K25"/>
  <c r="O24"/>
  <c r="F24" s="1"/>
  <c r="M24"/>
  <c r="K24"/>
  <c r="O23"/>
  <c r="F23" s="1"/>
  <c r="M23"/>
  <c r="K23"/>
  <c r="O22"/>
  <c r="F22" s="1"/>
  <c r="M22"/>
  <c r="K22"/>
  <c r="O21"/>
  <c r="F21" s="1"/>
  <c r="M21"/>
  <c r="K21"/>
  <c r="O20"/>
  <c r="F20" s="1"/>
  <c r="M20"/>
  <c r="K20"/>
  <c r="O19"/>
  <c r="F19" s="1"/>
  <c r="M19"/>
  <c r="K19"/>
  <c r="K29" s="1"/>
  <c r="I18"/>
  <c r="H18"/>
  <c r="G18"/>
  <c r="O17"/>
  <c r="F17" s="1"/>
  <c r="M17"/>
  <c r="K17"/>
  <c r="O16"/>
  <c r="F16" s="1"/>
  <c r="M16"/>
  <c r="K16"/>
  <c r="E16"/>
  <c r="E18" s="1"/>
  <c r="O15"/>
  <c r="F15" s="1"/>
  <c r="K15"/>
  <c r="M13"/>
  <c r="L13"/>
  <c r="J13"/>
  <c r="K12"/>
  <c r="I12"/>
  <c r="H12"/>
  <c r="H13" s="1"/>
  <c r="G12"/>
  <c r="G13" s="1"/>
  <c r="E12"/>
  <c r="M11"/>
  <c r="K11"/>
  <c r="F11"/>
  <c r="F12" s="1"/>
  <c r="P10"/>
  <c r="I10"/>
  <c r="H10"/>
  <c r="G10"/>
  <c r="E10"/>
  <c r="M9"/>
  <c r="F9"/>
  <c r="O8"/>
  <c r="F8" s="1"/>
  <c r="M8"/>
  <c r="K8"/>
  <c r="O7"/>
  <c r="F7" s="1"/>
  <c r="M7"/>
  <c r="K7"/>
  <c r="O6"/>
  <c r="O10" s="1"/>
  <c r="M6"/>
  <c r="K6"/>
  <c r="I71" i="32"/>
  <c r="I55"/>
  <c r="G54"/>
  <c r="I53"/>
  <c r="H53"/>
  <c r="H54" s="1"/>
  <c r="G53"/>
  <c r="E53"/>
  <c r="E54" s="1"/>
  <c r="M52"/>
  <c r="F52" s="1"/>
  <c r="F53" s="1"/>
  <c r="F54" s="1"/>
  <c r="J52"/>
  <c r="J53" s="1"/>
  <c r="J54" s="1"/>
  <c r="E50"/>
  <c r="M48"/>
  <c r="F48" s="1"/>
  <c r="J48"/>
  <c r="J45"/>
  <c r="H45"/>
  <c r="G45"/>
  <c r="E45"/>
  <c r="M44"/>
  <c r="F44" s="1"/>
  <c r="F45" s="1"/>
  <c r="J44"/>
  <c r="J43"/>
  <c r="H43"/>
  <c r="G43"/>
  <c r="F43"/>
  <c r="E43"/>
  <c r="H41"/>
  <c r="F60" s="1"/>
  <c r="G41"/>
  <c r="E41"/>
  <c r="M40"/>
  <c r="F40" s="1"/>
  <c r="J40"/>
  <c r="M39"/>
  <c r="J39"/>
  <c r="F39"/>
  <c r="M38"/>
  <c r="F38" s="1"/>
  <c r="J38"/>
  <c r="M37"/>
  <c r="F37" s="1"/>
  <c r="J37"/>
  <c r="M36"/>
  <c r="J36"/>
  <c r="F36"/>
  <c r="M35"/>
  <c r="F35" s="1"/>
  <c r="J35"/>
  <c r="J34"/>
  <c r="H34"/>
  <c r="G34"/>
  <c r="F34"/>
  <c r="E34"/>
  <c r="J31"/>
  <c r="F31"/>
  <c r="H30"/>
  <c r="H46" s="1"/>
  <c r="G30"/>
  <c r="E30"/>
  <c r="J28"/>
  <c r="J30" s="1"/>
  <c r="F28"/>
  <c r="F30" s="1"/>
  <c r="H27"/>
  <c r="G27"/>
  <c r="E27"/>
  <c r="M26"/>
  <c r="F26" s="1"/>
  <c r="J26"/>
  <c r="M25"/>
  <c r="J25"/>
  <c r="F25"/>
  <c r="F27" s="1"/>
  <c r="H24"/>
  <c r="G24"/>
  <c r="E24"/>
  <c r="M21"/>
  <c r="F21" s="1"/>
  <c r="J21"/>
  <c r="M20"/>
  <c r="F20" s="1"/>
  <c r="M19"/>
  <c r="F19" s="1"/>
  <c r="M18"/>
  <c r="F18" s="1"/>
  <c r="M17"/>
  <c r="F17" s="1"/>
  <c r="M16"/>
  <c r="J16"/>
  <c r="F16"/>
  <c r="M15"/>
  <c r="F15" s="1"/>
  <c r="J15"/>
  <c r="N12"/>
  <c r="J12"/>
  <c r="H12"/>
  <c r="G12"/>
  <c r="M11"/>
  <c r="F11" s="1"/>
  <c r="M10"/>
  <c r="F10" s="1"/>
  <c r="M9"/>
  <c r="F9" s="1"/>
  <c r="M8"/>
  <c r="F8" s="1"/>
  <c r="M7"/>
  <c r="F7" s="1"/>
  <c r="M6"/>
  <c r="F6" s="1"/>
  <c r="I39" i="26"/>
  <c r="H39"/>
  <c r="F39"/>
  <c r="I38"/>
  <c r="H38"/>
  <c r="F38"/>
  <c r="L37"/>
  <c r="I37"/>
  <c r="H37"/>
  <c r="F37"/>
  <c r="L36"/>
  <c r="I36"/>
  <c r="H36"/>
  <c r="G36"/>
  <c r="F36"/>
  <c r="I35"/>
  <c r="H35"/>
  <c r="F35"/>
  <c r="E74" i="14"/>
  <c r="P71"/>
  <c r="O71"/>
  <c r="M71"/>
  <c r="L71"/>
  <c r="K71"/>
  <c r="J71"/>
  <c r="D71"/>
  <c r="P70"/>
  <c r="P72" s="1"/>
  <c r="O70"/>
  <c r="L70"/>
  <c r="K70"/>
  <c r="K72" s="1"/>
  <c r="J70"/>
  <c r="J72" s="1"/>
  <c r="D70"/>
  <c r="P66"/>
  <c r="O66"/>
  <c r="L66"/>
  <c r="K66"/>
  <c r="J66"/>
  <c r="D66"/>
  <c r="Q65"/>
  <c r="P65"/>
  <c r="O65"/>
  <c r="L65"/>
  <c r="K65"/>
  <c r="J65"/>
  <c r="F65"/>
  <c r="D65"/>
  <c r="Q64"/>
  <c r="P64"/>
  <c r="O64"/>
  <c r="L64"/>
  <c r="K64"/>
  <c r="J64"/>
  <c r="D64"/>
  <c r="R63"/>
  <c r="Q63"/>
  <c r="P63"/>
  <c r="O63"/>
  <c r="O67" s="1"/>
  <c r="L63"/>
  <c r="K63"/>
  <c r="K67" s="1"/>
  <c r="J63"/>
  <c r="J67" s="1"/>
  <c r="D63"/>
  <c r="P61"/>
  <c r="K61"/>
  <c r="N60"/>
  <c r="Q59"/>
  <c r="P59"/>
  <c r="O59"/>
  <c r="L59"/>
  <c r="K59"/>
  <c r="J59"/>
  <c r="E59"/>
  <c r="D59"/>
  <c r="P58"/>
  <c r="O58"/>
  <c r="O61" s="1"/>
  <c r="L58"/>
  <c r="L61" s="1"/>
  <c r="K58"/>
  <c r="J58"/>
  <c r="E58"/>
  <c r="D58"/>
  <c r="D61" s="1"/>
  <c r="P52"/>
  <c r="O52"/>
  <c r="L52"/>
  <c r="N52" s="1"/>
  <c r="K52"/>
  <c r="J52"/>
  <c r="D52"/>
  <c r="Q51"/>
  <c r="Q52" s="1"/>
  <c r="N51"/>
  <c r="M51"/>
  <c r="M52" s="1"/>
  <c r="F51"/>
  <c r="F52" s="1"/>
  <c r="Q50"/>
  <c r="P50"/>
  <c r="O50"/>
  <c r="L50"/>
  <c r="N50" s="1"/>
  <c r="K50"/>
  <c r="J50"/>
  <c r="D50"/>
  <c r="Q49"/>
  <c r="G38" i="26" s="1"/>
  <c r="N49" i="14"/>
  <c r="M49"/>
  <c r="L38" i="26" s="1"/>
  <c r="F49" i="14"/>
  <c r="F50" s="1"/>
  <c r="P48"/>
  <c r="O48"/>
  <c r="L48"/>
  <c r="N48" s="1"/>
  <c r="K48"/>
  <c r="J48"/>
  <c r="D48"/>
  <c r="Q47"/>
  <c r="Q48" s="1"/>
  <c r="N47"/>
  <c r="M47"/>
  <c r="M48" s="1"/>
  <c r="F47"/>
  <c r="F48" s="1"/>
  <c r="P46"/>
  <c r="O46"/>
  <c r="N46"/>
  <c r="L46"/>
  <c r="K46"/>
  <c r="J46"/>
  <c r="D46"/>
  <c r="M45"/>
  <c r="F45"/>
  <c r="Q44"/>
  <c r="G37" i="26" s="1"/>
  <c r="N44" i="14"/>
  <c r="M44"/>
  <c r="M46" s="1"/>
  <c r="F44"/>
  <c r="F46" s="1"/>
  <c r="Q43"/>
  <c r="P43"/>
  <c r="O43"/>
  <c r="N43"/>
  <c r="L43"/>
  <c r="K43"/>
  <c r="J43"/>
  <c r="F43"/>
  <c r="D43"/>
  <c r="Q42"/>
  <c r="Q70" s="1"/>
  <c r="N42"/>
  <c r="N70" s="1"/>
  <c r="M42"/>
  <c r="L35" i="26" s="1"/>
  <c r="F42" i="14"/>
  <c r="E39"/>
  <c r="R38"/>
  <c r="P38"/>
  <c r="O38"/>
  <c r="L38"/>
  <c r="K38"/>
  <c r="J38"/>
  <c r="D38"/>
  <c r="F37"/>
  <c r="Q36"/>
  <c r="Q38" s="1"/>
  <c r="N36"/>
  <c r="N38" s="1"/>
  <c r="M36"/>
  <c r="M38" s="1"/>
  <c r="F36"/>
  <c r="F38" s="1"/>
  <c r="Q35"/>
  <c r="P35"/>
  <c r="O35"/>
  <c r="L35"/>
  <c r="K35"/>
  <c r="J35"/>
  <c r="D35"/>
  <c r="N34"/>
  <c r="M34"/>
  <c r="F34"/>
  <c r="N33"/>
  <c r="M33"/>
  <c r="F33"/>
  <c r="N32"/>
  <c r="M32"/>
  <c r="F32"/>
  <c r="N31"/>
  <c r="M31"/>
  <c r="M35" s="1"/>
  <c r="F31"/>
  <c r="Q30"/>
  <c r="P30"/>
  <c r="O30"/>
  <c r="L30"/>
  <c r="K30"/>
  <c r="J30"/>
  <c r="D30"/>
  <c r="N29"/>
  <c r="M29"/>
  <c r="M30" s="1"/>
  <c r="F29"/>
  <c r="N28"/>
  <c r="M28"/>
  <c r="F28"/>
  <c r="F30" s="1"/>
  <c r="N27"/>
  <c r="M27"/>
  <c r="F27"/>
  <c r="Q26"/>
  <c r="P26"/>
  <c r="O26"/>
  <c r="L26"/>
  <c r="N26" s="1"/>
  <c r="K26"/>
  <c r="J26"/>
  <c r="D26"/>
  <c r="N25"/>
  <c r="N65" s="1"/>
  <c r="M25"/>
  <c r="M65" s="1"/>
  <c r="F25"/>
  <c r="N24"/>
  <c r="M24"/>
  <c r="F24"/>
  <c r="N23"/>
  <c r="M23"/>
  <c r="F23"/>
  <c r="N22"/>
  <c r="M22"/>
  <c r="F22"/>
  <c r="Q21"/>
  <c r="P21"/>
  <c r="O21"/>
  <c r="L21"/>
  <c r="N21" s="1"/>
  <c r="K21"/>
  <c r="J21"/>
  <c r="D21"/>
  <c r="N20"/>
  <c r="M20"/>
  <c r="F20"/>
  <c r="N19"/>
  <c r="M19"/>
  <c r="M21" s="1"/>
  <c r="F19"/>
  <c r="F21" s="1"/>
  <c r="P18"/>
  <c r="O18"/>
  <c r="N18"/>
  <c r="L18"/>
  <c r="K18"/>
  <c r="J18"/>
  <c r="F18"/>
  <c r="D18"/>
  <c r="Q17"/>
  <c r="Q66" s="1"/>
  <c r="N17"/>
  <c r="N66" s="1"/>
  <c r="M17"/>
  <c r="M66" s="1"/>
  <c r="F17"/>
  <c r="F66" s="1"/>
  <c r="Q16"/>
  <c r="P16"/>
  <c r="P39" s="1"/>
  <c r="O16"/>
  <c r="L16"/>
  <c r="K16"/>
  <c r="J16"/>
  <c r="D16"/>
  <c r="N15"/>
  <c r="M15"/>
  <c r="F15"/>
  <c r="N14"/>
  <c r="M14"/>
  <c r="F14"/>
  <c r="N13"/>
  <c r="N59" s="1"/>
  <c r="M13"/>
  <c r="F13"/>
  <c r="N12"/>
  <c r="M12"/>
  <c r="M16" s="1"/>
  <c r="F12"/>
  <c r="Q11"/>
  <c r="P11"/>
  <c r="O11"/>
  <c r="L11"/>
  <c r="K11"/>
  <c r="J11"/>
  <c r="J39" s="1"/>
  <c r="D11"/>
  <c r="N11" s="1"/>
  <c r="N10"/>
  <c r="M10"/>
  <c r="F10"/>
  <c r="F59" s="1"/>
  <c r="N9"/>
  <c r="M9"/>
  <c r="F9"/>
  <c r="F29" i="33" l="1"/>
  <c r="F61"/>
  <c r="N64" i="14"/>
  <c r="F63"/>
  <c r="F70"/>
  <c r="L67"/>
  <c r="I13" i="33"/>
  <c r="E87"/>
  <c r="E89" s="1"/>
  <c r="K45"/>
  <c r="H55"/>
  <c r="G11" i="34"/>
  <c r="N58" i="14"/>
  <c r="O39"/>
  <c r="M26"/>
  <c r="D53"/>
  <c r="D67"/>
  <c r="D74" s="1"/>
  <c r="Q71"/>
  <c r="M64"/>
  <c r="L39"/>
  <c r="L54" s="1"/>
  <c r="N54" s="1"/>
  <c r="Q18"/>
  <c r="Q39" s="1"/>
  <c r="F26"/>
  <c r="N30"/>
  <c r="N63"/>
  <c r="N67" s="1"/>
  <c r="N74" s="1"/>
  <c r="Q72"/>
  <c r="K53"/>
  <c r="P53"/>
  <c r="N71"/>
  <c r="Q58"/>
  <c r="Q61" s="1"/>
  <c r="K74"/>
  <c r="P67"/>
  <c r="P74" s="1"/>
  <c r="D72"/>
  <c r="O72"/>
  <c r="H40" i="26"/>
  <c r="F24" i="32"/>
  <c r="E59"/>
  <c r="E61" s="1"/>
  <c r="E46"/>
  <c r="J41"/>
  <c r="E60"/>
  <c r="K18" i="33"/>
  <c r="K33"/>
  <c r="O45"/>
  <c r="D88"/>
  <c r="K52"/>
  <c r="K55" s="1"/>
  <c r="G55"/>
  <c r="G54" i="16"/>
  <c r="G55" s="1"/>
  <c r="E13" i="33"/>
  <c r="F89"/>
  <c r="F88"/>
  <c r="I55"/>
  <c r="I69"/>
  <c r="F16" i="14"/>
  <c r="D39"/>
  <c r="D54" s="1"/>
  <c r="F35"/>
  <c r="L53"/>
  <c r="F59" i="32"/>
  <c r="F61" s="1"/>
  <c r="F11" i="14"/>
  <c r="M59"/>
  <c r="N16"/>
  <c r="F64"/>
  <c r="K39"/>
  <c r="N35"/>
  <c r="N39" s="1"/>
  <c r="M63"/>
  <c r="J53"/>
  <c r="O53"/>
  <c r="J61"/>
  <c r="J74" s="1"/>
  <c r="L72"/>
  <c r="J24" i="32"/>
  <c r="D59"/>
  <c r="J27"/>
  <c r="J55" s="1"/>
  <c r="D60"/>
  <c r="G46"/>
  <c r="G55"/>
  <c r="K10" i="33"/>
  <c r="K13" s="1"/>
  <c r="N11" i="34"/>
  <c r="F43" i="16"/>
  <c r="D62" i="32"/>
  <c r="E55"/>
  <c r="K54" i="14"/>
  <c r="N72"/>
  <c r="F41" i="32"/>
  <c r="F46" s="1"/>
  <c r="D87" i="33"/>
  <c r="D89" s="1"/>
  <c r="G87"/>
  <c r="F48"/>
  <c r="F52"/>
  <c r="E55"/>
  <c r="K68"/>
  <c r="F68"/>
  <c r="F82"/>
  <c r="G60" i="32"/>
  <c r="E69" i="33"/>
  <c r="D90"/>
  <c r="M67" i="14"/>
  <c r="J54"/>
  <c r="P54"/>
  <c r="F53"/>
  <c r="O74"/>
  <c r="F55" i="32"/>
  <c r="F33" i="33"/>
  <c r="G62" i="32"/>
  <c r="F62"/>
  <c r="F63" s="1"/>
  <c r="H55"/>
  <c r="F90" i="33"/>
  <c r="F91" s="1"/>
  <c r="H69"/>
  <c r="F39" i="14"/>
  <c r="F54" s="1"/>
  <c r="O54"/>
  <c r="F67"/>
  <c r="F72"/>
  <c r="N53"/>
  <c r="L74"/>
  <c r="Q67"/>
  <c r="Q74" s="1"/>
  <c r="F12" i="32"/>
  <c r="F18" i="33"/>
  <c r="G88"/>
  <c r="M58" i="14"/>
  <c r="O82" i="33"/>
  <c r="M11" i="14"/>
  <c r="M39" s="1"/>
  <c r="M18"/>
  <c r="M43"/>
  <c r="M53" s="1"/>
  <c r="M50"/>
  <c r="G35" i="26"/>
  <c r="G39"/>
  <c r="M12" i="32"/>
  <c r="E90" i="33"/>
  <c r="E91" s="1"/>
  <c r="F5" i="34"/>
  <c r="F11" s="1"/>
  <c r="M70" i="14"/>
  <c r="M72" s="1"/>
  <c r="L39" i="26"/>
  <c r="E62" i="32"/>
  <c r="F6" i="33"/>
  <c r="F10" s="1"/>
  <c r="F13" s="1"/>
  <c r="F58" i="14"/>
  <c r="F61" s="1"/>
  <c r="F71"/>
  <c r="Q46"/>
  <c r="Q53" s="1"/>
  <c r="Q54" s="1"/>
  <c r="E59" i="35"/>
  <c r="M5" i="34"/>
  <c r="M6"/>
  <c r="M7"/>
  <c r="M8"/>
  <c r="M9"/>
  <c r="M10"/>
  <c r="K5"/>
  <c r="K11" s="1"/>
  <c r="J46" i="32" l="1"/>
  <c r="D63"/>
  <c r="E63"/>
  <c r="M54" i="14"/>
  <c r="M61"/>
  <c r="M74" s="1"/>
  <c r="G61" i="32"/>
  <c r="G63" s="1"/>
  <c r="F55" i="33"/>
  <c r="G59" i="32"/>
  <c r="F74" i="14"/>
  <c r="D61" i="32"/>
  <c r="G90" i="33"/>
  <c r="K69"/>
  <c r="G89"/>
  <c r="D91"/>
  <c r="F69"/>
  <c r="G91" l="1"/>
</calcChain>
</file>

<file path=xl/sharedStrings.xml><?xml version="1.0" encoding="utf-8"?>
<sst xmlns="http://schemas.openxmlformats.org/spreadsheetml/2006/main" count="1089" uniqueCount="345">
  <si>
    <t>Commodity</t>
  </si>
  <si>
    <t>States</t>
  </si>
  <si>
    <t>Remarks</t>
  </si>
  <si>
    <t>Moong</t>
  </si>
  <si>
    <t>Urad</t>
  </si>
  <si>
    <t>Sub Total</t>
  </si>
  <si>
    <t>Total</t>
  </si>
  <si>
    <t>Date of Closure of Procure-ment</t>
  </si>
  <si>
    <t>Date of Commenc-ement  of Procurement</t>
  </si>
  <si>
    <t xml:space="preserve"> </t>
  </si>
  <si>
    <t>NAFED HEAD OFFICE</t>
  </si>
  <si>
    <t>% Proc.  of Sanctioned Qty.</t>
  </si>
  <si>
    <t>Total Farmers registered</t>
  </si>
  <si>
    <t>G. Total</t>
  </si>
  <si>
    <t>Toor</t>
  </si>
  <si>
    <t>Soyabean</t>
  </si>
  <si>
    <t>Groundnut</t>
  </si>
  <si>
    <t>Sesamum</t>
  </si>
  <si>
    <t>Sunflower</t>
  </si>
  <si>
    <t xml:space="preserve"> MSP (Rs.Per Quintal)</t>
  </si>
  <si>
    <t xml:space="preserve"> MSP  Value       (Rs Crore)</t>
  </si>
  <si>
    <t>To be decided by state Government</t>
  </si>
  <si>
    <t>Sub Total Pulses</t>
  </si>
  <si>
    <t>Sub Total Oilseeds</t>
  </si>
  <si>
    <t>Number of Farmers Benefited</t>
  </si>
  <si>
    <t xml:space="preserve"> Number of Farmers Benefited</t>
  </si>
  <si>
    <t xml:space="preserve">Quantity Sanctioned by DA &amp; FW  (Quantity  MT)               </t>
  </si>
  <si>
    <t>QTY (IN MT)</t>
  </si>
  <si>
    <t>TARGET QTY BY DA &amp; FW</t>
  </si>
  <si>
    <t>QUANTITY PROCURED BY NAFED BRANCHES</t>
  </si>
  <si>
    <t>MSP (Rs.Per Quintal)</t>
  </si>
  <si>
    <t xml:space="preserve"> MSP  Value              (Rs Crore)</t>
  </si>
  <si>
    <t>MSP Value         (In Crore)</t>
  </si>
  <si>
    <t>Tamil Nadu</t>
  </si>
  <si>
    <t>Qty procured               (In MT)</t>
  </si>
  <si>
    <t xml:space="preserve"> Total</t>
  </si>
  <si>
    <t>Oilseesd</t>
  </si>
  <si>
    <t>Pulses</t>
  </si>
  <si>
    <t xml:space="preserve">Sub Total </t>
  </si>
  <si>
    <t xml:space="preserve">No. of Procurem-ent Centres </t>
  </si>
  <si>
    <t>No. of centres where Procureme-nt in progress</t>
  </si>
  <si>
    <t>s.n</t>
  </si>
  <si>
    <t xml:space="preserve">Qty procured on previous day </t>
  </si>
  <si>
    <t>commodity</t>
  </si>
  <si>
    <t>scheme</t>
  </si>
  <si>
    <t>season</t>
  </si>
  <si>
    <t>msp</t>
  </si>
  <si>
    <t>stateCode</t>
  </si>
  <si>
    <t>sanctionQty</t>
  </si>
  <si>
    <t>qtyProcYesterday</t>
  </si>
  <si>
    <t>progressiveProcurement</t>
  </si>
  <si>
    <t>progNoFarmermersBenifited</t>
  </si>
  <si>
    <t>procStartDate</t>
  </si>
  <si>
    <t>procEndDate</t>
  </si>
  <si>
    <t>value</t>
  </si>
  <si>
    <t>MOONG</t>
  </si>
  <si>
    <t>PSS</t>
  </si>
  <si>
    <t>23S</t>
  </si>
  <si>
    <t>MP</t>
  </si>
  <si>
    <t>GJ</t>
  </si>
  <si>
    <t>HR</t>
  </si>
  <si>
    <t>URAD</t>
  </si>
  <si>
    <t xml:space="preserve">PSS </t>
  </si>
  <si>
    <t>23R</t>
  </si>
  <si>
    <t>TN</t>
  </si>
  <si>
    <t>OR</t>
  </si>
  <si>
    <t>CHANA</t>
  </si>
  <si>
    <t>TS</t>
  </si>
  <si>
    <t>AP</t>
  </si>
  <si>
    <t>KA</t>
  </si>
  <si>
    <t>MH</t>
  </si>
  <si>
    <t>UP</t>
  </si>
  <si>
    <t>RJ</t>
  </si>
  <si>
    <t>BR</t>
  </si>
  <si>
    <t>MASOOR</t>
  </si>
  <si>
    <t>MUSTARD</t>
  </si>
  <si>
    <t>AS</t>
  </si>
  <si>
    <t>GROUNDNUT</t>
  </si>
  <si>
    <t xml:space="preserve">SUNFLOWER </t>
  </si>
  <si>
    <t>BALL_COPRA</t>
  </si>
  <si>
    <t>MILL_COPRA</t>
  </si>
  <si>
    <t>PB</t>
  </si>
  <si>
    <t>KR</t>
  </si>
  <si>
    <t>SAFFLOWER</t>
  </si>
  <si>
    <t>AN</t>
  </si>
  <si>
    <t>Kharif-2023</t>
  </si>
  <si>
    <t>Karnataka</t>
  </si>
  <si>
    <t xml:space="preserve">Sunflower </t>
  </si>
  <si>
    <t xml:space="preserve">Procurement Period Approved by State Government </t>
  </si>
  <si>
    <t>P- 9</t>
  </si>
  <si>
    <t>Gujarat</t>
  </si>
  <si>
    <t>Perennial  Crops -2023</t>
  </si>
  <si>
    <t>Ball Copra</t>
  </si>
  <si>
    <t>27-01-2023 to 25-08-2023</t>
  </si>
  <si>
    <t>Milling Copra</t>
  </si>
  <si>
    <t>Andaman &amp; Nikobar Islands</t>
  </si>
  <si>
    <t>01-07-2023 to 30-12-2023</t>
  </si>
  <si>
    <t xml:space="preserve">Proc. In progress </t>
  </si>
  <si>
    <t>Kerala</t>
  </si>
  <si>
    <t>29-06-2023 to 26-12-2023</t>
  </si>
  <si>
    <t xml:space="preserve">Total Perennial  Crops </t>
  </si>
  <si>
    <t>Andhra Pradesh</t>
  </si>
  <si>
    <t>Ball Copra 2023</t>
  </si>
  <si>
    <t>Milling Copra 2023</t>
  </si>
  <si>
    <t>Sub Total Perennial</t>
  </si>
  <si>
    <t xml:space="preserve">Groundut </t>
  </si>
  <si>
    <t xml:space="preserve">Sanction Qty </t>
  </si>
  <si>
    <t>Farmers Benefited</t>
  </si>
  <si>
    <t xml:space="preserve">  Progressive Procurement 
</t>
  </si>
  <si>
    <t>DETAILED  STATEMENT OF PSS PROCUREMENT DURING KHARIF 2023 SEASON AND PERENNIAL CROP 2023 SEASON</t>
  </si>
  <si>
    <t>Haryana</t>
  </si>
  <si>
    <t>Summary</t>
  </si>
  <si>
    <t>01-10-2023 to 15-11-2023</t>
  </si>
  <si>
    <t>01-11-2023 to 31-12-2023</t>
  </si>
  <si>
    <t>21-10-2023 to 19-01-2024</t>
  </si>
  <si>
    <t>06-09-2023 to 04-12-2023</t>
  </si>
  <si>
    <t xml:space="preserve">Procurement period over./ Final WHR qty received </t>
  </si>
  <si>
    <t>01-04-2023 to 26-11-2023</t>
  </si>
  <si>
    <t xml:space="preserve">Proc. In progress / Proc. period extended </t>
  </si>
  <si>
    <t>Uttar Pradesh</t>
  </si>
  <si>
    <t>Uttar               Pradesh</t>
  </si>
  <si>
    <t>Sesamum Seed</t>
  </si>
  <si>
    <t xml:space="preserve">Proc. In progress/ NIL Arrivals / Market rate above MSP </t>
  </si>
  <si>
    <t>Telangana</t>
  </si>
  <si>
    <t>25-10-2023 to 22-01-2024</t>
  </si>
  <si>
    <t>The procurement centres will be operative on 25.10.2023 and procurement period will be effective from the date of actual procurement and will be continue for 90 days from the date of actual procurement</t>
  </si>
  <si>
    <t>Rajasthan</t>
  </si>
  <si>
    <t>Maharashtra</t>
  </si>
  <si>
    <t xml:space="preserve">Maharashtra </t>
  </si>
  <si>
    <t>As on 26.10.2023</t>
  </si>
  <si>
    <t>Qty reported on  date                      26-10-2023</t>
  </si>
  <si>
    <t>Qty Procured Yesterday</t>
  </si>
  <si>
    <t>S.No.</t>
  </si>
  <si>
    <t>Moong K-23                              MSP-8558 Per QTL</t>
  </si>
  <si>
    <t>Urad K-23                                  MSP-6950 Per QTL</t>
  </si>
  <si>
    <t xml:space="preserve">Progressive Procurement  </t>
  </si>
  <si>
    <t>(QTY. in MT)</t>
  </si>
  <si>
    <t xml:space="preserve">Quantity Sanctioned by DA &amp; FW           </t>
  </si>
  <si>
    <t>Value                         (Rs Crores)</t>
  </si>
  <si>
    <t>Groundnut  K-23                             MSP-6377 Per QTL</t>
  </si>
  <si>
    <t>Soyabean  K-23                              MSP-4600 Per QTL</t>
  </si>
  <si>
    <t>Sesamum K-23                                MSP-8635 Per QTL</t>
  </si>
  <si>
    <t>Sunflower K-23                                MSP-6760 Per QTL</t>
  </si>
  <si>
    <t>Sanction QTY(Oilseeds)</t>
  </si>
  <si>
    <t>05-11-2023 to 02-02-2024</t>
  </si>
  <si>
    <t>01-11-2023 to 29-01-2024</t>
  </si>
  <si>
    <t>Toor K-23                                MSP-7000 Per QTL</t>
  </si>
  <si>
    <t>PSF Toor Kharif-23</t>
  </si>
  <si>
    <t>Perennial  Crops 2024</t>
  </si>
  <si>
    <t>Ball Copra MSP-12000 Per QTL</t>
  </si>
  <si>
    <t>06-09-2023 to 05-01-2024</t>
  </si>
  <si>
    <t>Madhya Pradesh</t>
  </si>
  <si>
    <t>Masoor  MSP: RS. 6425 per QTL</t>
  </si>
  <si>
    <t>Mustard Seed MSP : 5650 Per QTL.</t>
  </si>
  <si>
    <t>RABI-2024</t>
  </si>
  <si>
    <t>KHARIF-2024</t>
  </si>
  <si>
    <t xml:space="preserve">PSF K-23 Procurement  </t>
  </si>
  <si>
    <t>Sanction QTY (Pulses)</t>
  </si>
  <si>
    <t>18-11-2023 to 01-03-2024</t>
  </si>
  <si>
    <t>Assam</t>
  </si>
  <si>
    <t>Moong  MSP: RS. 8558 per QTL</t>
  </si>
  <si>
    <t>Urad  MSP: RS. 6950 per QTL</t>
  </si>
  <si>
    <t>Groundnut  MSP: RS. 6377 per QTL</t>
  </si>
  <si>
    <t>04-03-2024 to 15-03-2024</t>
  </si>
  <si>
    <t>Sunflower  MSP: RS. 6760 per QTL</t>
  </si>
  <si>
    <t>04-03-2024 to 01-06-2024</t>
  </si>
  <si>
    <t>18-03-2024 to 15-06-2024</t>
  </si>
  <si>
    <t>26-03-2024 to 31-05-2023</t>
  </si>
  <si>
    <t>01-04-2024 to 10-05-2024</t>
  </si>
  <si>
    <t>26-03-2024 to 01-05-2024</t>
  </si>
  <si>
    <t>05-03-2024 to 12-06-2024 &amp;                      01-04-2024 to  29-06-2024</t>
  </si>
  <si>
    <t>15-03-2024 to 12-06-2024</t>
  </si>
  <si>
    <t>Procurement details PSS K-23, &amp; PSF Toor Kh-23</t>
  </si>
  <si>
    <t xml:space="preserve">Procurement details PSS Rabi -2024 and Perennial crop 2024 </t>
  </si>
  <si>
    <t>PSS Kharif - 2023</t>
  </si>
  <si>
    <t>Gram  MSP: RS. 5440 per QTL</t>
  </si>
  <si>
    <t>16-02-2024 to 15-05-2024</t>
  </si>
  <si>
    <t>13-03-2024 to 10-06-2024</t>
  </si>
  <si>
    <t>Sanction QTY (Oilseeds)</t>
  </si>
  <si>
    <t>Milling Copra MSP-11160 Per QTL</t>
  </si>
  <si>
    <t>09-11-2023 to 26-04-2024</t>
  </si>
  <si>
    <t>As on 01-04-2024</t>
  </si>
  <si>
    <t>5500-5600</t>
  </si>
  <si>
    <t>5400-5700</t>
  </si>
  <si>
    <t>5700-5800</t>
  </si>
  <si>
    <t>6000-6200</t>
  </si>
  <si>
    <t>5300-5600</t>
  </si>
  <si>
    <t>5400-5800</t>
  </si>
  <si>
    <t>4600-5150</t>
  </si>
  <si>
    <t>Prevailing market rate                 (Rs. per Qtl)</t>
  </si>
  <si>
    <t>% dfferante</t>
  </si>
  <si>
    <t>% difference with MSP</t>
  </si>
  <si>
    <t xml:space="preserve">Procurement during Rabi-23 Season </t>
  </si>
  <si>
    <t>05-03-2024 to 12-06-2024 &amp;  01-04-2024 to  29-06-2024</t>
  </si>
  <si>
    <t xml:space="preserve">Procurement details PSS Mustard Seed Rabi -2024 </t>
  </si>
  <si>
    <t xml:space="preserve">No. of Procurement Centres </t>
  </si>
  <si>
    <t xml:space="preserve">Mustard Seed  (MSP-5650)           </t>
  </si>
  <si>
    <t>13-03-2024 to 10-06-2024 &amp; 01-04-2024 to  29-06-2024</t>
  </si>
  <si>
    <t>Note : Procurement report of UP and Telangana state not received.</t>
  </si>
  <si>
    <t>22-04-2024 to 20-07-2024</t>
  </si>
  <si>
    <t>Bihar</t>
  </si>
  <si>
    <t>Proc. closed (vide e-Mail of branch dt 26.04.2024)</t>
  </si>
  <si>
    <t>Note : Procurement report of Gujarat,MP, Karnataka,Tamil Nadu,Telangana,Maharashtra and Assam state not received.</t>
  </si>
  <si>
    <t>Note : Procurement report of Uttar Pradesh, Karnataka, Andhra Pradesh, Tamil Nadu, Telangana and Maharashtra state not received.</t>
  </si>
  <si>
    <t>RABI-2024 PSF</t>
  </si>
  <si>
    <t>RABI-2024 PSS</t>
  </si>
  <si>
    <t>Proc. closed (vide e-Mail of branch dt 27.05.2024)</t>
  </si>
  <si>
    <t>01-04-2024 to 30-06-2024 &amp; 01-10-2024 to  31-12-2024</t>
  </si>
  <si>
    <t>Odisha</t>
  </si>
  <si>
    <t>01-06-2024 to 30-06-2024</t>
  </si>
  <si>
    <t xml:space="preserve">Quantity Sanctioned by DA &amp; FW             </t>
  </si>
  <si>
    <t>Summer -24 PSS</t>
  </si>
  <si>
    <t>Total Summer -2024</t>
  </si>
  <si>
    <t>PSF Toor    Kharif-23</t>
  </si>
  <si>
    <t>Gram                          R-24 PSF</t>
  </si>
  <si>
    <t>15-03-2024 to 15-07-2024</t>
  </si>
  <si>
    <t>Safflower  MSP: RS. 5800 per QTL</t>
  </si>
  <si>
    <t>16-02-2024 to 29-06-2024</t>
  </si>
  <si>
    <t>Moong                MSP: Rs. 8558 per QTL</t>
  </si>
  <si>
    <t>Urad               MSP: Rs. 6950 per QTL</t>
  </si>
  <si>
    <t>24-06-2024 to 31-07-2024</t>
  </si>
  <si>
    <t>18-03-2024 to 30-06-2024</t>
  </si>
  <si>
    <t>13-06-2024 to 02-09-2024</t>
  </si>
  <si>
    <t>Andhra Pradesh*</t>
  </si>
  <si>
    <t>Karnataka *</t>
  </si>
  <si>
    <t>Telangana *</t>
  </si>
  <si>
    <t>Gujarat *</t>
  </si>
  <si>
    <t>Maharashtra *</t>
  </si>
  <si>
    <t>* Final WHR quantity received by Branches</t>
  </si>
  <si>
    <t>Madhya Pradesh*</t>
  </si>
  <si>
    <t>G. Total (Rabi Crop &amp; Perennial Crop)</t>
  </si>
  <si>
    <t xml:space="preserve">Nil Arrivals </t>
  </si>
  <si>
    <t>Proc. closed (vide e-Mail of branch dt 22.07.2024</t>
  </si>
  <si>
    <t xml:space="preserve">Proc. closed </t>
  </si>
  <si>
    <t>*Out of 3.30 LMT only 2.15 LMT target allocated in remaing 1.15 LMT quantity allocated to NCCF in the state of MP</t>
  </si>
  <si>
    <t>01-08-2024 to 29-10-2024</t>
  </si>
  <si>
    <t>01-07-2024 to 28-09-2024</t>
  </si>
  <si>
    <t>Kharif -24 PSS</t>
  </si>
  <si>
    <t>Moong                MSP: Rs. 8682 per QTL</t>
  </si>
  <si>
    <t xml:space="preserve">G. Total </t>
  </si>
  <si>
    <t>Sunflower  MSP: RS. 7280 per QTL</t>
  </si>
  <si>
    <t>25-05-2024 to 22-08-2024</t>
  </si>
  <si>
    <t>Urad              MSP: Rs. 7400 per QTL</t>
  </si>
  <si>
    <t>Soyabean  MSP: RS. 4892 per QTL</t>
  </si>
  <si>
    <t>20-06-2024 to 20-08-2024</t>
  </si>
  <si>
    <t>05-09-2024 to 03-12-2024</t>
  </si>
  <si>
    <t>21-10-2024 to 18-01-2025</t>
  </si>
  <si>
    <t>30-08-2024 to 27-11-2024</t>
  </si>
  <si>
    <t>10-10-2024 to 07-01-2025</t>
  </si>
  <si>
    <t>15-10-2024 to 12-01-2025</t>
  </si>
  <si>
    <t>Madhya Pradesh *</t>
  </si>
  <si>
    <t>Tamil Nadu *</t>
  </si>
  <si>
    <t>Odisha *</t>
  </si>
  <si>
    <t>Rajasthan *</t>
  </si>
  <si>
    <t>Uttar Pradesh *</t>
  </si>
  <si>
    <t>Haryana *</t>
  </si>
  <si>
    <t>Assam *</t>
  </si>
  <si>
    <t xml:space="preserve">Karnataka </t>
  </si>
  <si>
    <t>Groundnut  MSP: RS. 6783 per QTL</t>
  </si>
  <si>
    <t>25-09-2024 to 23-12-2024</t>
  </si>
  <si>
    <t>Uttar Pradesh*</t>
  </si>
  <si>
    <t>Toor  MSP: RS. 7550 per QTL</t>
  </si>
  <si>
    <t>Sesamum Seed (Til)  MSP: RS. 9267 per QTL</t>
  </si>
  <si>
    <t>01-10-2024 to 15-11-2024</t>
  </si>
  <si>
    <t>01-12-2024 to 31-12-2024</t>
  </si>
  <si>
    <t>11-11-2024 to 09-02-2025</t>
  </si>
  <si>
    <t>18-10-2024 to 15-01-2025</t>
  </si>
  <si>
    <t>Name of SLA</t>
  </si>
  <si>
    <t>No. of centres where Procurement in progress</t>
  </si>
  <si>
    <t xml:space="preserve">Last year Procurement during Kharif-23 Season </t>
  </si>
  <si>
    <t>KCMF Ltd</t>
  </si>
  <si>
    <t>TG MARKFED</t>
  </si>
  <si>
    <t>MP MARKFED</t>
  </si>
  <si>
    <t>RAJFED</t>
  </si>
  <si>
    <t>GUJCOMASOL</t>
  </si>
  <si>
    <t xml:space="preserve">Telangana </t>
  </si>
  <si>
    <t>Procurement details of PSS Kharif  2024-25</t>
  </si>
  <si>
    <t xml:space="preserve">Quantity Sanctioned by Da &amp; FW,GoI </t>
  </si>
  <si>
    <t>VCMF, MARKFED, MAHA KISHAN SANGH, PRUTHASHAKTI, MAHA KISAN VRIDDHI</t>
  </si>
  <si>
    <t>State</t>
  </si>
  <si>
    <t>SLA Name</t>
  </si>
  <si>
    <t>MARKFED</t>
  </si>
  <si>
    <t>VCMF</t>
  </si>
  <si>
    <t>MAHA KISHAN SANGH</t>
  </si>
  <si>
    <t>PRUTHASHAKTI</t>
  </si>
  <si>
    <t>MAHA KISAN VRIDDHI</t>
  </si>
  <si>
    <t xml:space="preserve">No. of Approved Centres </t>
  </si>
  <si>
    <t>No. of Active Center</t>
  </si>
  <si>
    <t>Note: 1) IN Maharastra Soya bean commenced from  15th October 2024 .In Maharastra specifically five  SLS are there VCMF, MARKFED, MAHA KISHAN SANGH, PRUTHASHAKTI, MAHA KISAN VRIDDHI and up till 7th November procured a quantity of 1813.45 MT valuing 8.87 crore</t>
  </si>
  <si>
    <t xml:space="preserve">Qty  Progressive Procurement  </t>
  </si>
  <si>
    <t xml:space="preserve">Reported centres of  Procurement </t>
  </si>
  <si>
    <t xml:space="preserve"> Procurement details PSS Kharif -2024</t>
  </si>
  <si>
    <t>NAFED</t>
  </si>
  <si>
    <t>FAQ     Sanctioned Quantity                         DA &amp; FW</t>
  </si>
  <si>
    <t>As on 09-11-2024</t>
  </si>
  <si>
    <t>Qty Procured Today Tentative</t>
  </si>
  <si>
    <t>As on 10-11-2024</t>
  </si>
  <si>
    <t>Qty Procured Today Yesterday</t>
  </si>
  <si>
    <t>KSCMF Ltd</t>
  </si>
  <si>
    <t>NAFED Procurement details PSS Rabi -2024, Summer -24, Perennial crop 2024 and PSF Toor K-23                        (Procurement Closed)</t>
  </si>
  <si>
    <t>01-11-2024 to 29-01-2025</t>
  </si>
  <si>
    <t>24-08-2024 to 18-12-2024</t>
  </si>
  <si>
    <t>24-08-2024 to 23-12-2024</t>
  </si>
  <si>
    <t>05-09-2024 to 02-01-2025</t>
  </si>
  <si>
    <t>25-09-2024 to 07-01-2025</t>
  </si>
  <si>
    <t>25-10-2024 to 02-01-2025</t>
  </si>
  <si>
    <t>18-10-2024 to 04-02-2025</t>
  </si>
  <si>
    <t>Chhattisgarh</t>
  </si>
  <si>
    <t>15-02-2025 to 15-05-2025</t>
  </si>
  <si>
    <t xml:space="preserve"> Procurement details PSS Rabi-2025</t>
  </si>
  <si>
    <t>RABI-2025 PSS</t>
  </si>
  <si>
    <t>Gram  MSP: RS. 5650 per QTL</t>
  </si>
  <si>
    <t>Masoor  MSP: RS. 6700 per QTL</t>
  </si>
  <si>
    <t>23-01-2025 to 22-04-2025</t>
  </si>
  <si>
    <t xml:space="preserve">Mustard MSP: RS. 5950 per QTL </t>
  </si>
  <si>
    <t>25-02-2025 to 29-04-2025</t>
  </si>
  <si>
    <t>15-10-2024 to 06-02-2025</t>
  </si>
  <si>
    <t>25-02-2025 to 25-05-2025</t>
  </si>
  <si>
    <t>As on 08-02-2025</t>
  </si>
  <si>
    <t>Daily report of Tur and Urad procurement under PSS and PSF</t>
  </si>
  <si>
    <t>Crop</t>
  </si>
  <si>
    <t>Progressive quantity procured (in MT)under</t>
  </si>
  <si>
    <t>Jharjhand</t>
  </si>
  <si>
    <t>karnataka</t>
  </si>
  <si>
    <t>Tur (Kharif-2024)</t>
  </si>
  <si>
    <t>Urad (Rabi-2025)</t>
  </si>
  <si>
    <t>PSF</t>
  </si>
  <si>
    <t xml:space="preserve">Note: Urad Rabi-25 has not started procurement under PSS &amp; PSF </t>
  </si>
  <si>
    <t>24-10-2024 to 15-02-2025</t>
  </si>
  <si>
    <t>11-11-2024 to 14-02-2025</t>
  </si>
  <si>
    <t>13-02-2025 to 13-05-2025</t>
  </si>
  <si>
    <t xml:space="preserve">Groundnut MSP: RS. 6783 per QTL </t>
  </si>
  <si>
    <t xml:space="preserve">Sunflower MSP: RS. 7280 per QTL </t>
  </si>
  <si>
    <t xml:space="preserve">Urad MSP: RS. 7400 per QTL </t>
  </si>
  <si>
    <t xml:space="preserve">Safflower MSP: RS. 5940 per QTL </t>
  </si>
  <si>
    <t xml:space="preserve">Moong MSP: RS. 8682 per QTL </t>
  </si>
  <si>
    <t>18-11-2024 to 20-03-2025</t>
  </si>
  <si>
    <t>02-01-2025 to 02-05-2025</t>
  </si>
  <si>
    <t>Perennial  Crops -2025</t>
  </si>
  <si>
    <t>Milling Copra  MSP: Rs. 11582  per QTL</t>
  </si>
  <si>
    <t>Ball Copra  MSP: Rs. 12100  per QTL</t>
  </si>
  <si>
    <t>02-04-2025 to 30-06-2025</t>
  </si>
  <si>
    <t>08-01-2025 to 30-04-2025</t>
  </si>
  <si>
    <t>As on 20-04-2025</t>
  </si>
  <si>
    <t xml:space="preserve">Madhya Pradesh </t>
  </si>
</sst>
</file>

<file path=xl/styles.xml><?xml version="1.0" encoding="utf-8"?>
<styleSheet xmlns="http://schemas.openxmlformats.org/spreadsheetml/2006/main">
  <numFmts count="5">
    <numFmt numFmtId="43" formatCode="_ * #,##0.00_ ;_ * \-#,##0.00_ ;_ * &quot;-&quot;??_ ;_ @_ "/>
    <numFmt numFmtId="164" formatCode="_ * #,##0_ ;_ * \-#,##0_ ;_ * &quot;-&quot;??_ ;_ @_ "/>
    <numFmt numFmtId="165" formatCode="[$-F800]dddd\,\ mmmm\ dd\,\ yyyy"/>
    <numFmt numFmtId="166" formatCode="[$-14009]dd\-mm\-yyyy;@"/>
    <numFmt numFmtId="167" formatCode="dd/mm/yyyy;@"/>
  </numFmts>
  <fonts count="35">
    <font>
      <sz val="11"/>
      <color theme="1"/>
      <name val="Calibri"/>
      <family val="2"/>
      <scheme val="minor"/>
    </font>
    <font>
      <sz val="14"/>
      <name val="Arial"/>
      <family val="2"/>
    </font>
    <font>
      <b/>
      <sz val="18"/>
      <name val="Arial"/>
      <family val="2"/>
    </font>
    <font>
      <b/>
      <sz val="14"/>
      <name val="Arial"/>
      <family val="2"/>
    </font>
    <font>
      <sz val="11"/>
      <name val="Arial"/>
      <family val="2"/>
    </font>
    <font>
      <sz val="11"/>
      <color theme="1"/>
      <name val="Calibri"/>
      <family val="2"/>
      <scheme val="minor"/>
    </font>
    <font>
      <sz val="12"/>
      <color theme="1"/>
      <name val="Calibri"/>
      <family val="2"/>
      <scheme val="minor"/>
    </font>
    <font>
      <b/>
      <sz val="11"/>
      <color theme="1"/>
      <name val="Arial"/>
      <family val="2"/>
    </font>
    <font>
      <b/>
      <sz val="14"/>
      <color theme="1"/>
      <name val="Arial"/>
      <family val="2"/>
    </font>
    <font>
      <sz val="16"/>
      <color theme="1"/>
      <name val="Arial"/>
      <family val="2"/>
    </font>
    <font>
      <b/>
      <sz val="18"/>
      <color theme="1"/>
      <name val="Arial"/>
      <family val="2"/>
    </font>
    <font>
      <b/>
      <sz val="16"/>
      <color theme="1"/>
      <name val="Arial"/>
      <family val="2"/>
    </font>
    <font>
      <b/>
      <sz val="15"/>
      <color theme="1"/>
      <name val="Arial"/>
      <family val="2"/>
    </font>
    <font>
      <sz val="14"/>
      <color theme="1"/>
      <name val="Arial"/>
      <family val="2"/>
    </font>
    <font>
      <b/>
      <sz val="10"/>
      <color rgb="FF000000"/>
      <name val="Arial"/>
      <family val="2"/>
    </font>
    <font>
      <sz val="14"/>
      <color rgb="FF000000"/>
      <name val="Arial"/>
      <family val="2"/>
    </font>
    <font>
      <b/>
      <sz val="20"/>
      <color theme="1"/>
      <name val="Arial"/>
      <family val="2"/>
    </font>
    <font>
      <sz val="15"/>
      <color theme="1"/>
      <name val="Arial"/>
      <family val="2"/>
    </font>
    <font>
      <sz val="17"/>
      <color theme="1"/>
      <name val="Arial"/>
      <family val="2"/>
    </font>
    <font>
      <b/>
      <sz val="12"/>
      <color theme="1"/>
      <name val="Arial"/>
      <family val="2"/>
    </font>
    <font>
      <sz val="13"/>
      <color theme="1"/>
      <name val="Arial"/>
      <family val="2"/>
    </font>
    <font>
      <sz val="12"/>
      <color theme="1"/>
      <name val="Arial"/>
      <family val="2"/>
    </font>
    <font>
      <sz val="11"/>
      <color theme="1"/>
      <name val="Arial"/>
      <family val="2"/>
    </font>
    <font>
      <b/>
      <sz val="10"/>
      <color theme="1"/>
      <name val="Arial"/>
      <family val="2"/>
    </font>
    <font>
      <b/>
      <sz val="11"/>
      <color rgb="FF000000"/>
      <name val="Arial"/>
      <family val="2"/>
    </font>
    <font>
      <b/>
      <sz val="14"/>
      <color rgb="FF000000"/>
      <name val="Arial"/>
      <family val="2"/>
    </font>
    <font>
      <sz val="11.5"/>
      <color theme="1"/>
      <name val="Arial"/>
      <family val="2"/>
    </font>
    <font>
      <b/>
      <sz val="11.5"/>
      <color theme="1"/>
      <name val="Arial"/>
      <family val="2"/>
    </font>
    <font>
      <b/>
      <sz val="13"/>
      <color theme="1"/>
      <name val="Arial"/>
      <family val="2"/>
    </font>
    <font>
      <sz val="13.5"/>
      <color theme="1"/>
      <name val="Arial"/>
      <family val="2"/>
    </font>
    <font>
      <b/>
      <sz val="8"/>
      <color theme="1"/>
      <name val="Arial"/>
      <family val="2"/>
    </font>
    <font>
      <sz val="13"/>
      <color theme="1"/>
      <name val="Calibri"/>
      <family val="2"/>
      <scheme val="minor"/>
    </font>
    <font>
      <b/>
      <sz val="22"/>
      <color theme="1"/>
      <name val="Arial"/>
      <family val="2"/>
    </font>
    <font>
      <sz val="18"/>
      <color theme="1"/>
      <name val="Arial"/>
      <family val="2"/>
    </font>
    <font>
      <sz val="1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9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rgb="FF000000"/>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s>
  <cellStyleXfs count="4">
    <xf numFmtId="0" fontId="0" fillId="0" borderId="0"/>
    <xf numFmtId="43" fontId="5" fillId="0" borderId="0" applyFont="0" applyFill="0" applyBorder="0" applyAlignment="0" applyProtection="0"/>
    <xf numFmtId="0" fontId="6" fillId="0" borderId="0"/>
    <xf numFmtId="9" fontId="5" fillId="0" borderId="0" applyFont="0" applyFill="0" applyBorder="0" applyAlignment="0" applyProtection="0"/>
  </cellStyleXfs>
  <cellXfs count="902">
    <xf numFmtId="0" fontId="0" fillId="0" borderId="0" xfId="0"/>
    <xf numFmtId="0" fontId="7" fillId="0" borderId="0" xfId="0" applyFont="1"/>
    <xf numFmtId="0" fontId="8" fillId="0" borderId="0" xfId="0" applyFont="1" applyAlignment="1">
      <alignment horizontal="center"/>
    </xf>
    <xf numFmtId="14" fontId="7" fillId="0" borderId="0" xfId="0" applyNumberFormat="1" applyFont="1"/>
    <xf numFmtId="0" fontId="9" fillId="0" borderId="1" xfId="0" applyFont="1" applyBorder="1" applyAlignment="1">
      <alignment horizontal="center" vertical="center"/>
    </xf>
    <xf numFmtId="0" fontId="10" fillId="0" borderId="0" xfId="0" applyFont="1" applyAlignment="1">
      <alignment horizontal="right" vertical="center"/>
    </xf>
    <xf numFmtId="0" fontId="8" fillId="0" borderId="0" xfId="0" applyFont="1" applyAlignment="1">
      <alignment horizontal="center" vertical="center" wrapText="1"/>
    </xf>
    <xf numFmtId="164" fontId="8" fillId="0" borderId="0" xfId="1" applyNumberFormat="1" applyFont="1" applyFill="1" applyBorder="1" applyAlignment="1"/>
    <xf numFmtId="43" fontId="8" fillId="0" borderId="0" xfId="1" applyFont="1" applyFill="1" applyBorder="1" applyAlignment="1"/>
    <xf numFmtId="0" fontId="10" fillId="0" borderId="0" xfId="0" applyFont="1" applyAlignment="1">
      <alignment horizontal="center" vertical="center"/>
    </xf>
    <xf numFmtId="164" fontId="7" fillId="0" borderId="0" xfId="0" applyNumberFormat="1" applyFont="1"/>
    <xf numFmtId="43" fontId="7" fillId="0" borderId="0" xfId="0" applyNumberFormat="1" applyFont="1"/>
    <xf numFmtId="0" fontId="11" fillId="0" borderId="2" xfId="0" applyFont="1" applyBorder="1" applyAlignment="1">
      <alignment vertical="center"/>
    </xf>
    <xf numFmtId="0" fontId="11" fillId="0" borderId="3" xfId="0" applyFont="1" applyBorder="1" applyAlignment="1">
      <alignment vertical="center"/>
    </xf>
    <xf numFmtId="43" fontId="11" fillId="0" borderId="2" xfId="1" applyFont="1" applyBorder="1" applyAlignment="1">
      <alignment vertical="center"/>
    </xf>
    <xf numFmtId="0" fontId="12" fillId="2" borderId="3" xfId="0" applyFont="1" applyFill="1" applyBorder="1" applyAlignment="1">
      <alignment vertical="center" wrapText="1"/>
    </xf>
    <xf numFmtId="164" fontId="12" fillId="2" borderId="4" xfId="1" applyNumberFormat="1" applyFont="1" applyFill="1" applyBorder="1" applyAlignment="1">
      <alignment vertical="center"/>
    </xf>
    <xf numFmtId="164" fontId="12" fillId="0" borderId="5" xfId="1" applyNumberFormat="1" applyFont="1" applyFill="1" applyBorder="1" applyAlignment="1">
      <alignment vertical="center"/>
    </xf>
    <xf numFmtId="43" fontId="12" fillId="2" borderId="6" xfId="1" applyFont="1" applyFill="1" applyBorder="1" applyAlignment="1">
      <alignment vertical="center"/>
    </xf>
    <xf numFmtId="43" fontId="9" fillId="0" borderId="7" xfId="1" applyFont="1" applyBorder="1" applyAlignment="1">
      <alignment vertical="center"/>
    </xf>
    <xf numFmtId="164" fontId="11" fillId="0" borderId="4" xfId="0" applyNumberFormat="1" applyFont="1" applyBorder="1" applyAlignment="1">
      <alignment vertical="center"/>
    </xf>
    <xf numFmtId="14" fontId="7" fillId="0" borderId="0" xfId="0" applyNumberFormat="1" applyFont="1" applyAlignment="1">
      <alignment vertical="center"/>
    </xf>
    <xf numFmtId="0" fontId="11" fillId="0" borderId="0" xfId="0" applyFont="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164" fontId="11" fillId="0" borderId="0" xfId="1" applyNumberFormat="1" applyFont="1" applyFill="1" applyBorder="1" applyAlignment="1">
      <alignment horizontal="center" vertical="center" wrapText="1"/>
    </xf>
    <xf numFmtId="43" fontId="11" fillId="0" borderId="0" xfId="1" applyFont="1" applyFill="1" applyBorder="1" applyAlignment="1">
      <alignment horizontal="center" vertical="center" wrapText="1"/>
    </xf>
    <xf numFmtId="2" fontId="7" fillId="0" borderId="0" xfId="0" applyNumberFormat="1" applyFont="1"/>
    <xf numFmtId="2" fontId="11" fillId="0" borderId="4" xfId="1" applyNumberFormat="1" applyFont="1" applyBorder="1" applyAlignment="1">
      <alignment vertical="center"/>
    </xf>
    <xf numFmtId="0" fontId="10" fillId="0" borderId="0" xfId="0" applyFont="1" applyAlignment="1">
      <alignment horizontal="right"/>
    </xf>
    <xf numFmtId="43" fontId="11" fillId="0" borderId="4" xfId="1" applyFont="1" applyBorder="1" applyAlignment="1">
      <alignment vertical="center"/>
    </xf>
    <xf numFmtId="164" fontId="13" fillId="0" borderId="11" xfId="1" applyNumberFormat="1" applyFont="1" applyBorder="1" applyAlignment="1">
      <alignment horizontal="center" vertical="center"/>
    </xf>
    <xf numFmtId="164" fontId="9" fillId="0" borderId="7" xfId="1" applyNumberFormat="1" applyFont="1" applyFill="1" applyBorder="1" applyAlignment="1">
      <alignment horizontal="center" vertical="center" wrapText="1"/>
    </xf>
    <xf numFmtId="1" fontId="9" fillId="0" borderId="7" xfId="0" applyNumberFormat="1" applyFont="1" applyBorder="1" applyAlignment="1">
      <alignment horizontal="center" vertical="center" wrapText="1"/>
    </xf>
    <xf numFmtId="2" fontId="9" fillId="0" borderId="7" xfId="0" applyNumberFormat="1" applyFont="1" applyBorder="1" applyAlignment="1">
      <alignment horizontal="center" vertical="center" wrapText="1"/>
    </xf>
    <xf numFmtId="166" fontId="9" fillId="0" borderId="7"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2" fontId="9" fillId="0" borderId="12" xfId="1" applyNumberFormat="1" applyFont="1" applyFill="1" applyBorder="1" applyAlignment="1">
      <alignment horizontal="center" vertical="center" wrapText="1"/>
    </xf>
    <xf numFmtId="0" fontId="9" fillId="0" borderId="7" xfId="1" applyNumberFormat="1" applyFont="1" applyFill="1" applyBorder="1" applyAlignment="1">
      <alignment horizontal="center" vertical="center" wrapText="1"/>
    </xf>
    <xf numFmtId="2" fontId="9" fillId="0" borderId="13" xfId="1" applyNumberFormat="1" applyFont="1" applyFill="1" applyBorder="1" applyAlignment="1">
      <alignment horizontal="center" vertical="center" wrapText="1"/>
    </xf>
    <xf numFmtId="2" fontId="9" fillId="0" borderId="7" xfId="1" applyNumberFormat="1"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14" xfId="1"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166" fontId="9" fillId="0" borderId="14"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2" fontId="9" fillId="0" borderId="14" xfId="1" applyNumberFormat="1" applyFont="1" applyBorder="1" applyAlignment="1">
      <alignment horizontal="center" vertical="center" wrapText="1"/>
    </xf>
    <xf numFmtId="2" fontId="9" fillId="0" borderId="15" xfId="1" applyNumberFormat="1" applyFont="1" applyBorder="1" applyAlignment="1">
      <alignment horizontal="center" vertical="center" wrapText="1"/>
    </xf>
    <xf numFmtId="0" fontId="10" fillId="0" borderId="16" xfId="0" applyFont="1" applyBorder="1" applyAlignment="1">
      <alignment horizontal="center" vertical="center" wrapText="1"/>
    </xf>
    <xf numFmtId="164" fontId="10" fillId="0" borderId="17" xfId="1"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2"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166" fontId="10" fillId="0" borderId="17" xfId="0" applyNumberFormat="1" applyFont="1" applyBorder="1" applyAlignment="1">
      <alignment horizontal="center" vertical="center" wrapText="1"/>
    </xf>
    <xf numFmtId="0" fontId="10" fillId="0" borderId="18" xfId="0" applyFont="1" applyBorder="1" applyAlignment="1">
      <alignment horizontal="center" vertical="center" wrapText="1"/>
    </xf>
    <xf numFmtId="164" fontId="10" fillId="0" borderId="2" xfId="1" applyNumberFormat="1" applyFont="1" applyBorder="1" applyAlignment="1">
      <alignment horizontal="center" vertical="center"/>
    </xf>
    <xf numFmtId="166" fontId="10" fillId="0" borderId="2"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4" xfId="0" applyFont="1" applyBorder="1" applyAlignment="1">
      <alignment horizontal="center" vertical="center"/>
    </xf>
    <xf numFmtId="0" fontId="9" fillId="0" borderId="19" xfId="0" applyFont="1" applyBorder="1" applyAlignment="1">
      <alignment vertical="center"/>
    </xf>
    <xf numFmtId="43" fontId="9" fillId="0" borderId="20" xfId="1" applyFont="1" applyBorder="1" applyAlignment="1">
      <alignment vertical="center"/>
    </xf>
    <xf numFmtId="2" fontId="9" fillId="0" borderId="20" xfId="0" applyNumberFormat="1" applyFont="1" applyBorder="1" applyAlignment="1">
      <alignment horizontal="center" vertical="center" wrapText="1"/>
    </xf>
    <xf numFmtId="0" fontId="9" fillId="0" borderId="20" xfId="1" applyNumberFormat="1" applyFont="1" applyFill="1" applyBorder="1" applyAlignment="1">
      <alignment horizontal="center" vertical="center" wrapText="1"/>
    </xf>
    <xf numFmtId="43" fontId="9" fillId="0" borderId="11" xfId="1" applyFont="1" applyBorder="1" applyAlignment="1">
      <alignment vertical="center"/>
    </xf>
    <xf numFmtId="43" fontId="9" fillId="0" borderId="21" xfId="1" applyFont="1" applyBorder="1" applyAlignment="1">
      <alignment vertical="center"/>
    </xf>
    <xf numFmtId="0" fontId="11" fillId="0" borderId="3" xfId="0" applyFont="1" applyBorder="1"/>
    <xf numFmtId="43" fontId="9" fillId="0" borderId="22" xfId="1" applyFont="1" applyBorder="1" applyAlignment="1">
      <alignment vertical="center"/>
    </xf>
    <xf numFmtId="164" fontId="9" fillId="0" borderId="22" xfId="1" applyNumberFormat="1" applyFont="1" applyBorder="1" applyAlignment="1">
      <alignment vertical="center"/>
    </xf>
    <xf numFmtId="164" fontId="9" fillId="0" borderId="21" xfId="1" applyNumberFormat="1" applyFont="1" applyBorder="1" applyAlignment="1">
      <alignment vertical="center"/>
    </xf>
    <xf numFmtId="164" fontId="9" fillId="0" borderId="11" xfId="1" applyNumberFormat="1" applyFont="1" applyBorder="1" applyAlignment="1">
      <alignment vertical="center"/>
    </xf>
    <xf numFmtId="0" fontId="9" fillId="0" borderId="23" xfId="0" applyFont="1" applyBorder="1" applyAlignment="1">
      <alignment vertical="center"/>
    </xf>
    <xf numFmtId="164" fontId="9" fillId="0" borderId="24" xfId="1" applyNumberFormat="1" applyFont="1" applyBorder="1" applyAlignment="1">
      <alignment vertical="center"/>
    </xf>
    <xf numFmtId="43" fontId="9" fillId="0" borderId="24" xfId="1" applyFont="1" applyBorder="1" applyAlignment="1">
      <alignment vertical="center"/>
    </xf>
    <xf numFmtId="0" fontId="12" fillId="2" borderId="3" xfId="0" applyFont="1" applyFill="1" applyBorder="1" applyAlignment="1">
      <alignment vertical="center"/>
    </xf>
    <xf numFmtId="0" fontId="10" fillId="0" borderId="0" xfId="0" applyFont="1" applyAlignment="1">
      <alignment horizontal="left" vertical="center"/>
    </xf>
    <xf numFmtId="0" fontId="9" fillId="0" borderId="2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3" fillId="0" borderId="11" xfId="0" applyFont="1" applyBorder="1" applyAlignment="1">
      <alignment vertical="top" wrapText="1"/>
    </xf>
    <xf numFmtId="43" fontId="9" fillId="0" borderId="20" xfId="1" applyFont="1" applyBorder="1" applyAlignment="1">
      <alignment horizontal="center" vertical="center"/>
    </xf>
    <xf numFmtId="1" fontId="11" fillId="0" borderId="2" xfId="1" applyNumberFormat="1" applyFont="1" applyBorder="1" applyAlignment="1">
      <alignment horizontal="center" vertical="center"/>
    </xf>
    <xf numFmtId="2" fontId="11" fillId="0" borderId="2" xfId="1" applyNumberFormat="1" applyFont="1" applyBorder="1" applyAlignment="1">
      <alignment horizontal="center" vertical="center"/>
    </xf>
    <xf numFmtId="2" fontId="10" fillId="0" borderId="2" xfId="1" applyNumberFormat="1" applyFont="1" applyBorder="1" applyAlignment="1">
      <alignment horizontal="center" vertical="center"/>
    </xf>
    <xf numFmtId="0" fontId="14" fillId="0" borderId="14" xfId="0" applyFont="1" applyBorder="1" applyAlignment="1">
      <alignment horizontal="center" vertical="center"/>
    </xf>
    <xf numFmtId="49" fontId="14" fillId="0" borderId="14" xfId="0" applyNumberFormat="1" applyFont="1" applyBorder="1" applyAlignment="1">
      <alignment horizontal="center" vertical="center"/>
    </xf>
    <xf numFmtId="0" fontId="15" fillId="0" borderId="14" xfId="0" applyFont="1" applyBorder="1"/>
    <xf numFmtId="0" fontId="1" fillId="0" borderId="14" xfId="1" applyNumberFormat="1" applyFont="1" applyBorder="1"/>
    <xf numFmtId="167" fontId="15" fillId="0" borderId="14" xfId="0" applyNumberFormat="1" applyFont="1" applyBorder="1"/>
    <xf numFmtId="2" fontId="1" fillId="0" borderId="14" xfId="1" applyNumberFormat="1" applyFont="1" applyBorder="1"/>
    <xf numFmtId="2" fontId="1" fillId="0" borderId="14" xfId="1" applyNumberFormat="1" applyFont="1" applyFill="1" applyBorder="1"/>
    <xf numFmtId="0" fontId="1" fillId="0" borderId="14" xfId="1" applyNumberFormat="1" applyFont="1" applyFill="1" applyBorder="1"/>
    <xf numFmtId="0" fontId="11" fillId="0" borderId="25" xfId="0" applyFont="1" applyBorder="1"/>
    <xf numFmtId="164" fontId="10" fillId="0" borderId="26" xfId="1" applyNumberFormat="1" applyFont="1" applyBorder="1" applyAlignment="1">
      <alignment horizontal="center" vertical="center"/>
    </xf>
    <xf numFmtId="2" fontId="10" fillId="0" borderId="26" xfId="1" applyNumberFormat="1" applyFont="1" applyBorder="1" applyAlignment="1">
      <alignment horizontal="center" vertical="center"/>
    </xf>
    <xf numFmtId="166" fontId="10" fillId="0" borderId="26" xfId="1" applyNumberFormat="1" applyFont="1" applyBorder="1" applyAlignment="1">
      <alignment horizontal="center" vertical="center"/>
    </xf>
    <xf numFmtId="0" fontId="10" fillId="0" borderId="26" xfId="1" applyNumberFormat="1" applyFont="1" applyBorder="1" applyAlignment="1">
      <alignment horizontal="center" vertical="center"/>
    </xf>
    <xf numFmtId="43" fontId="10" fillId="0" borderId="26" xfId="1" applyFont="1" applyBorder="1" applyAlignment="1">
      <alignment horizontal="center" vertical="center"/>
    </xf>
    <xf numFmtId="0" fontId="10" fillId="0" borderId="27" xfId="0" applyFont="1" applyBorder="1" applyAlignment="1">
      <alignment horizontal="center" vertical="center"/>
    </xf>
    <xf numFmtId="0" fontId="9" fillId="0" borderId="12"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43" fontId="10" fillId="0" borderId="17" xfId="1" applyFont="1" applyFill="1" applyBorder="1" applyAlignment="1">
      <alignment horizontal="center" vertical="center" wrapText="1"/>
    </xf>
    <xf numFmtId="0" fontId="16" fillId="0" borderId="17" xfId="0" applyFont="1" applyBorder="1" applyAlignment="1">
      <alignment horizontal="center" vertical="center" wrapText="1"/>
    </xf>
    <xf numFmtId="166" fontId="16" fillId="0" borderId="17" xfId="0" applyNumberFormat="1" applyFont="1" applyBorder="1" applyAlignment="1">
      <alignment horizontal="center" vertical="center" wrapText="1"/>
    </xf>
    <xf numFmtId="2" fontId="10" fillId="0" borderId="17" xfId="1" applyNumberFormat="1" applyFont="1" applyFill="1" applyBorder="1" applyAlignment="1">
      <alignment horizontal="center" vertical="center" wrapText="1"/>
    </xf>
    <xf numFmtId="0" fontId="9" fillId="0" borderId="28" xfId="0" applyFont="1" applyBorder="1" applyAlignment="1">
      <alignment vertical="center"/>
    </xf>
    <xf numFmtId="0" fontId="9" fillId="2" borderId="7" xfId="0" applyFont="1" applyFill="1" applyBorder="1" applyAlignment="1">
      <alignment horizontal="center" vertical="center"/>
    </xf>
    <xf numFmtId="2" fontId="9" fillId="2" borderId="7" xfId="1" applyNumberFormat="1" applyFont="1" applyFill="1" applyBorder="1" applyAlignment="1">
      <alignment horizontal="center" vertical="center" wrapText="1"/>
    </xf>
    <xf numFmtId="0" fontId="17" fillId="2" borderId="11" xfId="0" applyFont="1" applyFill="1" applyBorder="1" applyAlignment="1">
      <alignment horizontal="left" vertical="center" wrapText="1"/>
    </xf>
    <xf numFmtId="0" fontId="9" fillId="0" borderId="29" xfId="0" applyFont="1" applyBorder="1" applyAlignment="1">
      <alignment horizontal="center" vertical="center"/>
    </xf>
    <xf numFmtId="164" fontId="9" fillId="0" borderId="26" xfId="1" applyNumberFormat="1" applyFont="1" applyFill="1" applyBorder="1" applyAlignment="1">
      <alignment horizontal="center" vertical="center" wrapText="1"/>
    </xf>
    <xf numFmtId="1" fontId="9" fillId="0" borderId="26" xfId="0" applyNumberFormat="1" applyFont="1" applyBorder="1" applyAlignment="1">
      <alignment horizontal="center" vertical="center" wrapText="1"/>
    </xf>
    <xf numFmtId="166" fontId="9" fillId="0" borderId="26" xfId="0" applyNumberFormat="1" applyFont="1" applyBorder="1" applyAlignment="1">
      <alignment horizontal="center" vertical="center" wrapText="1"/>
    </xf>
    <xf numFmtId="14" fontId="9" fillId="0" borderId="26" xfId="0" applyNumberFormat="1" applyFont="1" applyBorder="1" applyAlignment="1">
      <alignment horizontal="center" vertical="center" wrapText="1"/>
    </xf>
    <xf numFmtId="0" fontId="9" fillId="0" borderId="26" xfId="0" applyFont="1" applyBorder="1" applyAlignment="1">
      <alignment horizontal="center" vertical="center" wrapText="1"/>
    </xf>
    <xf numFmtId="2" fontId="18" fillId="0" borderId="26" xfId="1" applyNumberFormat="1" applyFont="1" applyFill="1" applyBorder="1" applyAlignment="1">
      <alignment horizontal="center" vertical="center" wrapText="1"/>
    </xf>
    <xf numFmtId="2" fontId="9" fillId="0" borderId="20" xfId="1" applyNumberFormat="1" applyFont="1" applyFill="1" applyBorder="1" applyAlignment="1">
      <alignment horizontal="center" vertical="center" wrapText="1"/>
    </xf>
    <xf numFmtId="2" fontId="9" fillId="0" borderId="26" xfId="1" applyNumberFormat="1" applyFont="1" applyFill="1" applyBorder="1" applyAlignment="1">
      <alignment horizontal="center" vertical="center" wrapText="1"/>
    </xf>
    <xf numFmtId="1" fontId="18" fillId="0" borderId="26" xfId="1" applyNumberFormat="1" applyFont="1" applyFill="1" applyBorder="1" applyAlignment="1">
      <alignment horizontal="center" vertical="center" wrapText="1"/>
    </xf>
    <xf numFmtId="0" fontId="18" fillId="0" borderId="26" xfId="1" applyNumberFormat="1" applyFont="1" applyFill="1" applyBorder="1" applyAlignment="1">
      <alignment horizontal="center" vertical="center"/>
    </xf>
    <xf numFmtId="43" fontId="18" fillId="0" borderId="27" xfId="1" applyFont="1" applyFill="1" applyBorder="1" applyAlignment="1">
      <alignment horizontal="center" vertical="center"/>
    </xf>
    <xf numFmtId="0" fontId="7" fillId="0" borderId="25" xfId="0" applyFont="1" applyBorder="1"/>
    <xf numFmtId="0" fontId="10" fillId="3" borderId="25" xfId="0" applyFont="1" applyFill="1" applyBorder="1" applyAlignment="1">
      <alignment vertical="center"/>
    </xf>
    <xf numFmtId="0" fontId="10" fillId="3" borderId="30" xfId="0" applyFont="1" applyFill="1" applyBorder="1"/>
    <xf numFmtId="164" fontId="10" fillId="4" borderId="31" xfId="1" applyNumberFormat="1" applyFont="1" applyFill="1" applyBorder="1" applyAlignment="1">
      <alignment horizontal="center" vertical="center" wrapText="1"/>
    </xf>
    <xf numFmtId="166" fontId="10" fillId="4" borderId="31" xfId="1" applyNumberFormat="1" applyFont="1" applyFill="1" applyBorder="1" applyAlignment="1">
      <alignment horizontal="center" vertical="center" wrapText="1"/>
    </xf>
    <xf numFmtId="0" fontId="10" fillId="4" borderId="31" xfId="1" applyNumberFormat="1" applyFont="1" applyFill="1" applyBorder="1" applyAlignment="1">
      <alignment horizontal="center" vertical="center" wrapText="1"/>
    </xf>
    <xf numFmtId="2" fontId="10" fillId="4" borderId="31" xfId="1" applyNumberFormat="1" applyFont="1" applyFill="1" applyBorder="1" applyAlignment="1">
      <alignment horizontal="center" vertical="center" wrapText="1"/>
    </xf>
    <xf numFmtId="1" fontId="10" fillId="4" borderId="31" xfId="1" applyNumberFormat="1" applyFont="1" applyFill="1" applyBorder="1" applyAlignment="1">
      <alignment horizontal="center" vertical="center" wrapText="1"/>
    </xf>
    <xf numFmtId="43" fontId="10" fillId="4" borderId="28" xfId="1" applyFont="1" applyFill="1" applyBorder="1" applyAlignment="1">
      <alignment horizontal="left" vertical="center" wrapText="1"/>
    </xf>
    <xf numFmtId="0" fontId="11" fillId="0" borderId="32" xfId="0" applyFont="1" applyBorder="1"/>
    <xf numFmtId="164" fontId="12" fillId="0" borderId="0" xfId="1" applyNumberFormat="1" applyFont="1" applyFill="1" applyBorder="1" applyAlignment="1">
      <alignment vertical="center"/>
    </xf>
    <xf numFmtId="43" fontId="11" fillId="0" borderId="0" xfId="1" applyFont="1" applyBorder="1" applyAlignment="1">
      <alignment vertical="center"/>
    </xf>
    <xf numFmtId="0" fontId="8" fillId="0" borderId="0" xfId="0" applyFont="1" applyAlignment="1">
      <alignment vertical="center"/>
    </xf>
    <xf numFmtId="164" fontId="8" fillId="0" borderId="0" xfId="1" applyNumberFormat="1" applyFont="1" applyFill="1" applyBorder="1" applyAlignment="1">
      <alignment vertical="center"/>
    </xf>
    <xf numFmtId="43" fontId="8" fillId="0" borderId="0" xfId="1" applyFont="1" applyFill="1" applyBorder="1" applyAlignment="1">
      <alignment vertical="center"/>
    </xf>
    <xf numFmtId="2" fontId="8" fillId="0" borderId="0" xfId="1" applyNumberFormat="1" applyFont="1" applyFill="1" applyBorder="1" applyAlignment="1">
      <alignment vertical="center"/>
    </xf>
    <xf numFmtId="0" fontId="9" fillId="0" borderId="33" xfId="0" applyFont="1" applyBorder="1" applyAlignment="1">
      <alignment vertical="center"/>
    </xf>
    <xf numFmtId="2" fontId="9" fillId="0" borderId="7" xfId="1" applyNumberFormat="1" applyFont="1" applyBorder="1" applyAlignment="1">
      <alignment horizontal="center" vertical="center"/>
    </xf>
    <xf numFmtId="2" fontId="9" fillId="0" borderId="11" xfId="1" applyNumberFormat="1" applyFont="1" applyBorder="1" applyAlignment="1">
      <alignment horizontal="center" vertical="center"/>
    </xf>
    <xf numFmtId="0" fontId="17" fillId="5" borderId="34" xfId="0" applyFont="1" applyFill="1" applyBorder="1" applyAlignment="1">
      <alignment vertical="center"/>
    </xf>
    <xf numFmtId="164" fontId="9" fillId="0" borderId="26" xfId="0" applyNumberFormat="1" applyFont="1" applyBorder="1" applyAlignment="1">
      <alignment vertical="center"/>
    </xf>
    <xf numFmtId="0" fontId="9" fillId="0" borderId="31" xfId="0" applyFont="1" applyBorder="1" applyAlignment="1">
      <alignment vertical="center"/>
    </xf>
    <xf numFmtId="43" fontId="9" fillId="0" borderId="26" xfId="1" applyFont="1" applyBorder="1" applyAlignment="1">
      <alignment vertical="center"/>
    </xf>
    <xf numFmtId="0" fontId="9" fillId="0" borderId="32" xfId="0" applyFont="1" applyBorder="1" applyAlignment="1">
      <alignment vertical="center"/>
    </xf>
    <xf numFmtId="0" fontId="9" fillId="0" borderId="0" xfId="0" applyFont="1" applyAlignment="1">
      <alignment vertical="center"/>
    </xf>
    <xf numFmtId="164" fontId="11" fillId="0" borderId="2" xfId="0" applyNumberFormat="1" applyFont="1" applyBorder="1" applyAlignment="1">
      <alignment vertical="center"/>
    </xf>
    <xf numFmtId="0" fontId="7" fillId="0" borderId="0" xfId="0" applyFont="1" applyAlignment="1">
      <alignment vertical="center"/>
    </xf>
    <xf numFmtId="0" fontId="8" fillId="0" borderId="0" xfId="1" applyNumberFormat="1" applyFont="1" applyFill="1" applyBorder="1" applyAlignment="1">
      <alignment horizontal="center" vertical="center"/>
    </xf>
    <xf numFmtId="0" fontId="8" fillId="0" borderId="0" xfId="0" applyFont="1" applyAlignment="1">
      <alignment horizontal="center" vertical="center"/>
    </xf>
    <xf numFmtId="2" fontId="8" fillId="0" borderId="0" xfId="1" applyNumberFormat="1" applyFont="1" applyFill="1" applyBorder="1" applyAlignment="1">
      <alignment horizontal="center" vertical="center"/>
    </xf>
    <xf numFmtId="0" fontId="11" fillId="0" borderId="2" xfId="0" applyFont="1" applyBorder="1" applyAlignment="1">
      <alignment horizontal="center" vertical="center"/>
    </xf>
    <xf numFmtId="43" fontId="12" fillId="0" borderId="0" xfId="1" applyFont="1" applyFill="1" applyBorder="1" applyAlignment="1">
      <alignment vertical="center"/>
    </xf>
    <xf numFmtId="0" fontId="9" fillId="0" borderId="26" xfId="0" applyFont="1" applyBorder="1" applyAlignment="1">
      <alignment vertical="center"/>
    </xf>
    <xf numFmtId="0" fontId="9" fillId="0" borderId="26" xfId="0" applyFont="1" applyBorder="1" applyAlignment="1">
      <alignment horizontal="center" vertical="center"/>
    </xf>
    <xf numFmtId="2" fontId="9" fillId="0" borderId="26" xfId="1" applyNumberFormat="1" applyFont="1" applyBorder="1" applyAlignment="1">
      <alignment horizontal="center" vertical="center"/>
    </xf>
    <xf numFmtId="0" fontId="17" fillId="0" borderId="11" xfId="0" applyFont="1" applyBorder="1" applyAlignment="1">
      <alignment horizontal="left" vertical="center" wrapText="1"/>
    </xf>
    <xf numFmtId="0" fontId="9" fillId="0" borderId="7" xfId="0" applyFont="1" applyBorder="1" applyAlignment="1">
      <alignment horizontal="center" vertical="center"/>
    </xf>
    <xf numFmtId="0" fontId="9" fillId="0" borderId="7" xfId="0" applyFont="1" applyBorder="1" applyAlignment="1">
      <alignment vertical="center"/>
    </xf>
    <xf numFmtId="2" fontId="9" fillId="0" borderId="35" xfId="1" applyNumberFormat="1" applyFont="1" applyBorder="1" applyAlignment="1">
      <alignment horizontal="center" vertical="center"/>
    </xf>
    <xf numFmtId="2" fontId="11" fillId="0" borderId="4" xfId="1" applyNumberFormat="1" applyFont="1" applyBorder="1" applyAlignment="1">
      <alignment horizontal="center" vertical="center"/>
    </xf>
    <xf numFmtId="2" fontId="13" fillId="0" borderId="14" xfId="1" applyNumberFormat="1" applyFont="1" applyFill="1" applyBorder="1" applyAlignment="1">
      <alignment vertical="center" wrapText="1"/>
    </xf>
    <xf numFmtId="0" fontId="9" fillId="0" borderId="36" xfId="0" applyFont="1" applyBorder="1" applyAlignment="1">
      <alignment horizontal="center" vertical="center" wrapText="1"/>
    </xf>
    <xf numFmtId="164" fontId="9" fillId="0" borderId="37" xfId="1" applyNumberFormat="1" applyFont="1" applyBorder="1" applyAlignment="1">
      <alignment horizontal="center" vertical="center" wrapText="1"/>
    </xf>
    <xf numFmtId="1" fontId="9" fillId="0" borderId="37" xfId="0" applyNumberFormat="1" applyFont="1" applyBorder="1" applyAlignment="1">
      <alignment horizontal="center" vertical="center" wrapText="1"/>
    </xf>
    <xf numFmtId="166" fontId="9" fillId="0" borderId="37" xfId="0" applyNumberFormat="1" applyFont="1" applyBorder="1" applyAlignment="1">
      <alignment horizontal="center" vertical="center" wrapText="1"/>
    </xf>
    <xf numFmtId="14" fontId="9" fillId="0" borderId="37" xfId="0" applyNumberFormat="1" applyFont="1" applyBorder="1" applyAlignment="1">
      <alignment horizontal="center" vertical="center" wrapText="1"/>
    </xf>
    <xf numFmtId="43" fontId="11" fillId="0" borderId="2" xfId="1" applyFont="1" applyBorder="1" applyAlignment="1">
      <alignment horizontal="center" vertical="center"/>
    </xf>
    <xf numFmtId="164" fontId="10" fillId="0" borderId="31" xfId="1" applyNumberFormat="1" applyFont="1" applyBorder="1" applyAlignment="1">
      <alignment horizontal="center" vertical="center"/>
    </xf>
    <xf numFmtId="166" fontId="10" fillId="0" borderId="31" xfId="1" applyNumberFormat="1" applyFont="1" applyBorder="1" applyAlignment="1">
      <alignment horizontal="center" vertical="center"/>
    </xf>
    <xf numFmtId="1" fontId="10" fillId="2" borderId="31" xfId="1" applyNumberFormat="1" applyFont="1" applyFill="1" applyBorder="1" applyAlignment="1">
      <alignment horizontal="center" vertical="center"/>
    </xf>
    <xf numFmtId="43" fontId="10" fillId="2" borderId="31" xfId="1" applyFont="1" applyFill="1" applyBorder="1" applyAlignment="1">
      <alignment horizontal="center" vertical="center"/>
    </xf>
    <xf numFmtId="43" fontId="10" fillId="0" borderId="31" xfId="1" applyFont="1" applyFill="1" applyBorder="1" applyAlignment="1">
      <alignment horizontal="center" vertical="center" wrapText="1"/>
    </xf>
    <xf numFmtId="0" fontId="10" fillId="2" borderId="31" xfId="1" applyNumberFormat="1" applyFont="1" applyFill="1" applyBorder="1" applyAlignment="1">
      <alignment horizontal="center" vertical="center"/>
    </xf>
    <xf numFmtId="2" fontId="10" fillId="2" borderId="31" xfId="1" applyNumberFormat="1" applyFont="1" applyFill="1" applyBorder="1" applyAlignment="1">
      <alignment horizontal="center" vertical="center"/>
    </xf>
    <xf numFmtId="0" fontId="10" fillId="0" borderId="28" xfId="0" applyFont="1" applyBorder="1" applyAlignment="1">
      <alignment horizontal="left" vertical="center"/>
    </xf>
    <xf numFmtId="0" fontId="17" fillId="0" borderId="21" xfId="0" applyFont="1" applyBorder="1" applyAlignment="1">
      <alignment vertical="center" wrapText="1"/>
    </xf>
    <xf numFmtId="1" fontId="1" fillId="0" borderId="14" xfId="1" applyNumberFormat="1" applyFont="1" applyBorder="1"/>
    <xf numFmtId="43" fontId="1" fillId="0" borderId="14" xfId="1" applyFont="1" applyBorder="1"/>
    <xf numFmtId="0" fontId="10" fillId="0" borderId="0" xfId="0" applyFont="1" applyAlignment="1">
      <alignment vertical="center"/>
    </xf>
    <xf numFmtId="0" fontId="9" fillId="0" borderId="7" xfId="1" applyNumberFormat="1" applyFont="1" applyBorder="1" applyAlignment="1">
      <alignment horizontal="center" vertical="center"/>
    </xf>
    <xf numFmtId="43" fontId="9" fillId="0" borderId="7" xfId="1" applyFont="1" applyBorder="1" applyAlignment="1">
      <alignment horizontal="center" vertical="center"/>
    </xf>
    <xf numFmtId="0" fontId="9" fillId="5" borderId="8" xfId="0" applyFont="1" applyFill="1" applyBorder="1" applyAlignment="1">
      <alignment vertical="center"/>
    </xf>
    <xf numFmtId="164" fontId="9" fillId="0" borderId="7" xfId="0" applyNumberFormat="1" applyFont="1" applyBorder="1" applyAlignment="1">
      <alignment vertical="center"/>
    </xf>
    <xf numFmtId="43" fontId="9" fillId="0" borderId="35" xfId="1" applyFont="1" applyBorder="1" applyAlignment="1">
      <alignment vertical="center"/>
    </xf>
    <xf numFmtId="0" fontId="11" fillId="3" borderId="0" xfId="0" applyFont="1" applyFill="1" applyAlignment="1">
      <alignment vertical="center"/>
    </xf>
    <xf numFmtId="164" fontId="11" fillId="3" borderId="0" xfId="0" applyNumberFormat="1" applyFont="1" applyFill="1" applyAlignment="1">
      <alignment vertical="center"/>
    </xf>
    <xf numFmtId="0" fontId="12" fillId="0" borderId="0" xfId="0" applyFont="1" applyAlignment="1">
      <alignment vertical="center"/>
    </xf>
    <xf numFmtId="43" fontId="13" fillId="0" borderId="14" xfId="1" applyFont="1" applyFill="1" applyBorder="1" applyAlignment="1">
      <alignment horizontal="center" vertical="center" wrapText="1"/>
    </xf>
    <xf numFmtId="43" fontId="8" fillId="0" borderId="24" xfId="1" applyFont="1" applyBorder="1" applyAlignment="1">
      <alignment vertical="center"/>
    </xf>
    <xf numFmtId="0" fontId="13" fillId="0" borderId="38" xfId="0" applyFont="1" applyBorder="1" applyAlignment="1">
      <alignment vertical="top" wrapText="1"/>
    </xf>
    <xf numFmtId="165" fontId="9" fillId="0" borderId="31" xfId="0" applyNumberFormat="1" applyFont="1" applyBorder="1" applyAlignment="1">
      <alignment horizontal="center" vertical="center" wrapText="1"/>
    </xf>
    <xf numFmtId="164" fontId="11" fillId="0" borderId="2" xfId="1" applyNumberFormat="1" applyFont="1" applyBorder="1" applyAlignment="1">
      <alignment horizontal="center" vertical="center"/>
    </xf>
    <xf numFmtId="164" fontId="11" fillId="0" borderId="26" xfId="1" applyNumberFormat="1" applyFont="1" applyBorder="1" applyAlignment="1">
      <alignment horizontal="center" vertical="center"/>
    </xf>
    <xf numFmtId="165" fontId="9" fillId="0" borderId="7" xfId="0" applyNumberFormat="1" applyFont="1" applyBorder="1" applyAlignment="1">
      <alignment horizontal="center" vertical="center"/>
    </xf>
    <xf numFmtId="0" fontId="11" fillId="0" borderId="17" xfId="0" applyFont="1" applyBorder="1" applyAlignment="1">
      <alignment horizontal="center" vertical="center" wrapText="1"/>
    </xf>
    <xf numFmtId="165" fontId="9" fillId="0" borderId="20" xfId="0" applyNumberFormat="1" applyFont="1" applyBorder="1" applyAlignment="1">
      <alignment horizontal="center" vertical="center"/>
    </xf>
    <xf numFmtId="0" fontId="11" fillId="0" borderId="37" xfId="0" applyFont="1" applyBorder="1" applyAlignment="1">
      <alignment horizontal="center" vertical="center" wrapText="1"/>
    </xf>
    <xf numFmtId="0" fontId="10" fillId="0" borderId="24" xfId="0" applyFont="1" applyBorder="1" applyAlignment="1">
      <alignment horizontal="center" vertical="center" wrapText="1"/>
    </xf>
    <xf numFmtId="0" fontId="9" fillId="0" borderId="21" xfId="0" applyFont="1" applyBorder="1" applyAlignment="1">
      <alignment vertical="center" wrapText="1"/>
    </xf>
    <xf numFmtId="0" fontId="9" fillId="0" borderId="39" xfId="0" applyFont="1" applyBorder="1" applyAlignment="1">
      <alignment vertical="center" wrapText="1"/>
    </xf>
    <xf numFmtId="165" fontId="9" fillId="0" borderId="12" xfId="0" applyNumberFormat="1" applyFont="1" applyBorder="1" applyAlignment="1">
      <alignment horizontal="center" vertical="center"/>
    </xf>
    <xf numFmtId="165" fontId="9" fillId="0" borderId="14" xfId="0" applyNumberFormat="1" applyFont="1" applyBorder="1" applyAlignment="1">
      <alignment horizontal="center" vertical="center"/>
    </xf>
    <xf numFmtId="165" fontId="9" fillId="0" borderId="14" xfId="0" applyNumberFormat="1" applyFont="1" applyBorder="1" applyAlignment="1">
      <alignment horizontal="center" vertical="center" wrapText="1"/>
    </xf>
    <xf numFmtId="165" fontId="17" fillId="0" borderId="31" xfId="0" applyNumberFormat="1" applyFont="1" applyBorder="1" applyAlignment="1">
      <alignment vertical="center" wrapText="1"/>
    </xf>
    <xf numFmtId="0" fontId="9" fillId="0" borderId="20" xfId="0" applyFont="1" applyBorder="1" applyAlignment="1">
      <alignment horizontal="center" vertical="center" wrapText="1"/>
    </xf>
    <xf numFmtId="2" fontId="9" fillId="0" borderId="40" xfId="1" applyNumberFormat="1" applyFont="1" applyFill="1" applyBorder="1" applyAlignment="1">
      <alignment horizontal="center" vertical="center" wrapText="1"/>
    </xf>
    <xf numFmtId="0" fontId="13" fillId="6" borderId="22" xfId="0" applyFont="1" applyFill="1" applyBorder="1" applyAlignment="1">
      <alignment horizontal="left" vertical="center" wrapText="1"/>
    </xf>
    <xf numFmtId="0" fontId="9" fillId="0" borderId="41" xfId="0" applyFont="1" applyBorder="1" applyAlignment="1">
      <alignment horizontal="center" vertical="center"/>
    </xf>
    <xf numFmtId="164" fontId="9" fillId="0" borderId="20" xfId="1" applyNumberFormat="1" applyFont="1" applyFill="1" applyBorder="1" applyAlignment="1">
      <alignment horizontal="center" vertical="center" wrapText="1"/>
    </xf>
    <xf numFmtId="1" fontId="9" fillId="0" borderId="20" xfId="0" applyNumberFormat="1" applyFont="1" applyBorder="1" applyAlignment="1">
      <alignment horizontal="center" vertical="center" wrapText="1"/>
    </xf>
    <xf numFmtId="166" fontId="9" fillId="0" borderId="20" xfId="0" applyNumberFormat="1" applyFont="1" applyBorder="1" applyAlignment="1">
      <alignment horizontal="center" vertical="center" wrapText="1"/>
    </xf>
    <xf numFmtId="14" fontId="9" fillId="0" borderId="20" xfId="0" applyNumberFormat="1" applyFont="1" applyBorder="1" applyAlignment="1">
      <alignment horizontal="center" vertical="center" wrapText="1"/>
    </xf>
    <xf numFmtId="2" fontId="9" fillId="0" borderId="26" xfId="0" applyNumberFormat="1" applyFont="1" applyBorder="1" applyAlignment="1">
      <alignment horizontal="center" vertical="center" wrapText="1"/>
    </xf>
    <xf numFmtId="0" fontId="9" fillId="0" borderId="26" xfId="1" applyNumberFormat="1" applyFont="1" applyFill="1" applyBorder="1" applyAlignment="1">
      <alignment horizontal="center" vertical="center" wrapText="1"/>
    </xf>
    <xf numFmtId="1" fontId="9" fillId="0" borderId="26" xfId="1" applyNumberFormat="1" applyFont="1" applyFill="1" applyBorder="1" applyAlignment="1">
      <alignment horizontal="center" vertical="center" wrapText="1"/>
    </xf>
    <xf numFmtId="2" fontId="9" fillId="0" borderId="27"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xf>
    <xf numFmtId="2" fontId="10" fillId="0" borderId="17" xfId="1" applyNumberFormat="1" applyFont="1" applyFill="1" applyBorder="1" applyAlignment="1">
      <alignment horizontal="center" vertical="center"/>
    </xf>
    <xf numFmtId="164" fontId="11" fillId="0" borderId="17" xfId="1" applyNumberFormat="1" applyFont="1" applyFill="1" applyBorder="1" applyAlignment="1">
      <alignment horizontal="center" vertical="center"/>
    </xf>
    <xf numFmtId="166"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center" vertical="center"/>
    </xf>
    <xf numFmtId="43" fontId="10" fillId="0" borderId="17" xfId="1" applyFont="1" applyFill="1" applyBorder="1" applyAlignment="1">
      <alignment horizontal="center" vertical="center"/>
    </xf>
    <xf numFmtId="0" fontId="10"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4" xfId="0" applyFont="1" applyBorder="1" applyAlignment="1">
      <alignment horizontal="center" vertical="top" wrapText="1"/>
    </xf>
    <xf numFmtId="0" fontId="8" fillId="0" borderId="0" xfId="0" applyFont="1"/>
    <xf numFmtId="2" fontId="8" fillId="0" borderId="0" xfId="1" applyNumberFormat="1" applyFont="1" applyFill="1" applyBorder="1" applyAlignment="1"/>
    <xf numFmtId="0" fontId="12" fillId="0" borderId="25" xfId="0" applyFont="1" applyBorder="1" applyAlignment="1">
      <alignment vertical="center" wrapText="1"/>
    </xf>
    <xf numFmtId="0" fontId="12" fillId="0" borderId="42" xfId="0" applyFont="1" applyBorder="1" applyAlignment="1">
      <alignment vertical="center" wrapText="1"/>
    </xf>
    <xf numFmtId="0" fontId="11" fillId="0" borderId="42" xfId="1" applyNumberFormat="1" applyFont="1" applyFill="1" applyBorder="1" applyAlignment="1">
      <alignment horizontal="center" vertical="center"/>
    </xf>
    <xf numFmtId="43" fontId="11" fillId="0" borderId="42" xfId="1" applyFont="1" applyFill="1" applyBorder="1" applyAlignment="1">
      <alignment vertical="center"/>
    </xf>
    <xf numFmtId="2" fontId="11" fillId="0" borderId="42" xfId="1" applyNumberFormat="1" applyFont="1" applyBorder="1" applyAlignment="1">
      <alignment vertical="center"/>
    </xf>
    <xf numFmtId="2" fontId="11" fillId="0" borderId="43" xfId="1" applyNumberFormat="1" applyFont="1" applyBorder="1" applyAlignment="1">
      <alignment vertical="center"/>
    </xf>
    <xf numFmtId="43" fontId="13" fillId="0" borderId="21" xfId="1" applyFont="1" applyBorder="1" applyAlignment="1">
      <alignment vertical="center"/>
    </xf>
    <xf numFmtId="164" fontId="13" fillId="0" borderId="21" xfId="1" applyNumberFormat="1" applyFont="1" applyBorder="1" applyAlignment="1">
      <alignment vertical="center"/>
    </xf>
    <xf numFmtId="1" fontId="10" fillId="0" borderId="2" xfId="1" applyNumberFormat="1" applyFont="1" applyBorder="1" applyAlignment="1">
      <alignment horizontal="center" vertical="center"/>
    </xf>
    <xf numFmtId="0" fontId="13" fillId="2" borderId="11" xfId="0" applyFont="1" applyFill="1" applyBorder="1" applyAlignment="1">
      <alignment horizontal="left" vertical="center" wrapText="1"/>
    </xf>
    <xf numFmtId="2" fontId="10" fillId="0" borderId="31" xfId="1" applyNumberFormat="1" applyFont="1" applyBorder="1" applyAlignment="1">
      <alignment horizontal="center" vertical="center"/>
    </xf>
    <xf numFmtId="0" fontId="8" fillId="2" borderId="3" xfId="0" applyFont="1" applyFill="1" applyBorder="1" applyAlignment="1">
      <alignment vertical="center"/>
    </xf>
    <xf numFmtId="164" fontId="8" fillId="0" borderId="24" xfId="1" applyNumberFormat="1" applyFont="1" applyBorder="1" applyAlignment="1">
      <alignment vertical="center"/>
    </xf>
    <xf numFmtId="0" fontId="9" fillId="0" borderId="31" xfId="1" applyNumberFormat="1" applyFont="1" applyBorder="1" applyAlignment="1">
      <alignment horizontal="center" vertical="center"/>
    </xf>
    <xf numFmtId="43" fontId="9" fillId="0" borderId="31" xfId="1" applyFont="1" applyBorder="1" applyAlignment="1">
      <alignment vertical="center"/>
    </xf>
    <xf numFmtId="2" fontId="9" fillId="0" borderId="31" xfId="1" applyNumberFormat="1" applyFont="1" applyBorder="1" applyAlignment="1">
      <alignment horizontal="center" vertical="center"/>
    </xf>
    <xf numFmtId="2" fontId="9" fillId="0" borderId="28" xfId="1" applyNumberFormat="1" applyFont="1" applyBorder="1" applyAlignment="1">
      <alignment horizontal="center" vertical="center"/>
    </xf>
    <xf numFmtId="0" fontId="17" fillId="0" borderId="38" xfId="0" applyFont="1" applyBorder="1" applyAlignment="1">
      <alignment horizontal="left" vertical="center" wrapText="1"/>
    </xf>
    <xf numFmtId="0" fontId="8" fillId="0" borderId="0" xfId="0" applyFont="1" applyAlignment="1">
      <alignment horizontal="right" vertical="top"/>
    </xf>
    <xf numFmtId="0" fontId="7" fillId="0" borderId="14" xfId="0" applyFont="1" applyBorder="1" applyAlignment="1">
      <alignment vertical="center"/>
    </xf>
    <xf numFmtId="0" fontId="8" fillId="0" borderId="14" xfId="0" applyFont="1" applyBorder="1" applyAlignment="1">
      <alignment horizontal="center" vertical="center" wrapText="1"/>
    </xf>
    <xf numFmtId="164" fontId="13" fillId="0" borderId="14" xfId="1" applyNumberFormat="1" applyFont="1" applyFill="1" applyBorder="1" applyAlignment="1">
      <alignment horizontal="center" vertical="center" wrapText="1"/>
    </xf>
    <xf numFmtId="164" fontId="13" fillId="4" borderId="14"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8" fillId="0" borderId="14" xfId="0" applyFont="1" applyBorder="1" applyAlignment="1">
      <alignment horizontal="left" vertical="center"/>
    </xf>
    <xf numFmtId="0" fontId="19" fillId="0" borderId="14" xfId="0" applyFont="1" applyBorder="1" applyAlignment="1">
      <alignment horizontal="left" vertical="center"/>
    </xf>
    <xf numFmtId="0" fontId="8" fillId="0" borderId="14" xfId="0" applyFont="1" applyBorder="1" applyAlignment="1">
      <alignment vertical="center"/>
    </xf>
    <xf numFmtId="43" fontId="8" fillId="0" borderId="14" xfId="1" applyFont="1" applyFill="1" applyBorder="1" applyAlignment="1">
      <alignment horizontal="center" vertical="center" wrapText="1"/>
    </xf>
    <xf numFmtId="0" fontId="8" fillId="2" borderId="14" xfId="0" applyFont="1" applyFill="1" applyBorder="1" applyAlignment="1">
      <alignment horizontal="left" vertical="center"/>
    </xf>
    <xf numFmtId="164" fontId="8" fillId="2" borderId="14"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43" fontId="13" fillId="4" borderId="14" xfId="1" applyFont="1" applyFill="1" applyBorder="1" applyAlignment="1">
      <alignment horizontal="center" vertical="center" wrapText="1"/>
    </xf>
    <xf numFmtId="0" fontId="20" fillId="0" borderId="14" xfId="0" applyFont="1" applyBorder="1" applyAlignment="1">
      <alignment horizontal="center" vertical="center"/>
    </xf>
    <xf numFmtId="0" fontId="21" fillId="0" borderId="14" xfId="0" applyFont="1" applyBorder="1" applyAlignment="1">
      <alignment horizontal="center" vertical="center"/>
    </xf>
    <xf numFmtId="164" fontId="22" fillId="0" borderId="8" xfId="1" applyNumberFormat="1" applyFont="1" applyBorder="1" applyAlignment="1">
      <alignment horizontal="left" vertical="center"/>
    </xf>
    <xf numFmtId="164" fontId="22" fillId="0" borderId="9" xfId="1" applyNumberFormat="1" applyFont="1" applyBorder="1" applyAlignment="1">
      <alignment horizontal="left" vertical="center"/>
    </xf>
    <xf numFmtId="0" fontId="7" fillId="0" borderId="0" xfId="0" applyFont="1" applyAlignment="1">
      <alignment horizontal="right" vertical="center"/>
    </xf>
    <xf numFmtId="0" fontId="23" fillId="0" borderId="0" xfId="0" applyFont="1" applyAlignment="1">
      <alignment horizontal="center" vertical="center"/>
    </xf>
    <xf numFmtId="43" fontId="13" fillId="0" borderId="11" xfId="1" applyFont="1" applyBorder="1" applyAlignment="1">
      <alignment vertical="center"/>
    </xf>
    <xf numFmtId="164" fontId="13" fillId="0" borderId="11" xfId="1" applyNumberFormat="1" applyFont="1" applyBorder="1" applyAlignment="1">
      <alignment vertical="center"/>
    </xf>
    <xf numFmtId="0" fontId="8" fillId="6" borderId="14" xfId="0" applyFont="1" applyFill="1" applyBorder="1" applyAlignment="1">
      <alignment vertical="center"/>
    </xf>
    <xf numFmtId="0" fontId="8" fillId="6" borderId="14" xfId="0" applyFont="1" applyFill="1" applyBorder="1" applyAlignment="1">
      <alignment horizontal="left" vertical="center"/>
    </xf>
    <xf numFmtId="164" fontId="8" fillId="6" borderId="14" xfId="1" applyNumberFormat="1" applyFont="1" applyFill="1" applyBorder="1" applyAlignment="1">
      <alignment horizontal="center" vertical="center" wrapText="1"/>
    </xf>
    <xf numFmtId="43" fontId="8" fillId="6" borderId="14" xfId="1" applyFont="1" applyFill="1" applyBorder="1" applyAlignment="1">
      <alignment horizontal="center" vertical="center" wrapText="1"/>
    </xf>
    <xf numFmtId="0" fontId="11" fillId="0" borderId="37" xfId="0" applyFont="1" applyBorder="1" applyAlignment="1">
      <alignment horizontal="center" vertical="center"/>
    </xf>
    <xf numFmtId="164" fontId="8" fillId="0" borderId="37" xfId="1" applyNumberFormat="1" applyFont="1" applyFill="1" applyBorder="1" applyAlignment="1">
      <alignment horizontal="center" vertical="center" wrapText="1"/>
    </xf>
    <xf numFmtId="43" fontId="8" fillId="0" borderId="37" xfId="1" applyFont="1" applyFill="1" applyBorder="1" applyAlignment="1">
      <alignment horizontal="center" vertical="center" wrapText="1"/>
    </xf>
    <xf numFmtId="0" fontId="8" fillId="0" borderId="37" xfId="0" applyFont="1" applyBorder="1"/>
    <xf numFmtId="164" fontId="13" fillId="0" borderId="35" xfId="1" applyNumberFormat="1" applyFont="1" applyBorder="1" applyAlignment="1">
      <alignment vertical="center"/>
    </xf>
    <xf numFmtId="164" fontId="19" fillId="0" borderId="23" xfId="1" applyNumberFormat="1" applyFont="1" applyBorder="1" applyAlignment="1">
      <alignment horizontal="right" vertical="center"/>
    </xf>
    <xf numFmtId="0" fontId="7" fillId="5" borderId="14" xfId="0" applyFont="1" applyFill="1" applyBorder="1"/>
    <xf numFmtId="0" fontId="11" fillId="5" borderId="14" xfId="0" applyFont="1" applyFill="1" applyBorder="1" applyAlignment="1">
      <alignment horizontal="center" vertical="center"/>
    </xf>
    <xf numFmtId="164" fontId="8" fillId="5" borderId="14" xfId="1" applyNumberFormat="1" applyFont="1" applyFill="1" applyBorder="1" applyAlignment="1">
      <alignment horizontal="center" vertical="center" wrapText="1"/>
    </xf>
    <xf numFmtId="0" fontId="8" fillId="0" borderId="20" xfId="0" applyFont="1" applyBorder="1" applyAlignment="1">
      <alignment horizontal="center" vertical="center" wrapText="1"/>
    </xf>
    <xf numFmtId="0" fontId="7" fillId="0" borderId="14" xfId="0" applyFont="1" applyBorder="1" applyAlignment="1">
      <alignment vertical="center" wrapText="1"/>
    </xf>
    <xf numFmtId="0" fontId="8" fillId="0" borderId="0" xfId="0" applyFont="1" applyAlignment="1">
      <alignment horizontal="right" vertical="center"/>
    </xf>
    <xf numFmtId="164" fontId="8" fillId="0" borderId="0" xfId="1" applyNumberFormat="1" applyFont="1" applyBorder="1" applyAlignment="1">
      <alignment vertical="center"/>
    </xf>
    <xf numFmtId="43" fontId="8" fillId="0" borderId="0" xfId="1" applyFont="1" applyBorder="1" applyAlignment="1">
      <alignment vertical="center"/>
    </xf>
    <xf numFmtId="0" fontId="19" fillId="0" borderId="0" xfId="0" applyFont="1"/>
    <xf numFmtId="0" fontId="19" fillId="0" borderId="0" xfId="0" applyFont="1" applyAlignment="1">
      <alignment horizontal="left" vertical="center"/>
    </xf>
    <xf numFmtId="0" fontId="7" fillId="0" borderId="14" xfId="0" applyFont="1" applyBorder="1" applyAlignment="1">
      <alignment horizontal="center" vertical="center"/>
    </xf>
    <xf numFmtId="0" fontId="23" fillId="0" borderId="0" xfId="0" applyFont="1" applyAlignment="1">
      <alignment horizontal="center" vertical="center" wrapText="1"/>
    </xf>
    <xf numFmtId="0" fontId="8" fillId="0" borderId="14" xfId="0" applyFont="1" applyBorder="1" applyAlignment="1">
      <alignment horizontal="left" vertical="center" wrapText="1"/>
    </xf>
    <xf numFmtId="43" fontId="7" fillId="0" borderId="0" xfId="1" applyFont="1"/>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2" fontId="13" fillId="0" borderId="0" xfId="1" applyNumberFormat="1" applyFont="1" applyFill="1" applyBorder="1" applyAlignment="1">
      <alignment vertical="center" wrapText="1"/>
    </xf>
    <xf numFmtId="0" fontId="7" fillId="0" borderId="20" xfId="0" applyFont="1" applyBorder="1" applyAlignment="1">
      <alignment vertical="center" wrapText="1"/>
    </xf>
    <xf numFmtId="43" fontId="8" fillId="5" borderId="14" xfId="1" applyFont="1" applyFill="1" applyBorder="1" applyAlignment="1">
      <alignment horizontal="center" vertical="center" wrapText="1"/>
    </xf>
    <xf numFmtId="0" fontId="19" fillId="2" borderId="14" xfId="0" applyFont="1" applyFill="1" applyBorder="1" applyAlignment="1">
      <alignment horizontal="left" vertical="center"/>
    </xf>
    <xf numFmtId="0" fontId="24" fillId="0" borderId="64" xfId="0" applyFont="1" applyBorder="1" applyAlignment="1">
      <alignment vertical="center" wrapText="1"/>
    </xf>
    <xf numFmtId="0" fontId="24" fillId="0" borderId="65" xfId="0" applyFont="1" applyBorder="1" applyAlignment="1">
      <alignment vertical="center"/>
    </xf>
    <xf numFmtId="43" fontId="13" fillId="0" borderId="11" xfId="1" applyFont="1" applyBorder="1" applyAlignment="1">
      <alignment horizontal="center" vertical="center"/>
    </xf>
    <xf numFmtId="0" fontId="21" fillId="2" borderId="14" xfId="0" applyFont="1" applyFill="1" applyBorder="1" applyAlignment="1">
      <alignment horizontal="center" vertical="center"/>
    </xf>
    <xf numFmtId="0" fontId="8" fillId="3" borderId="14" xfId="0" applyFont="1" applyFill="1" applyBorder="1" applyAlignment="1">
      <alignment horizontal="left" vertical="center"/>
    </xf>
    <xf numFmtId="164" fontId="8" fillId="3" borderId="14" xfId="1" applyNumberFormat="1" applyFont="1" applyFill="1" applyBorder="1" applyAlignment="1">
      <alignment horizontal="center" vertical="center" wrapText="1"/>
    </xf>
    <xf numFmtId="43" fontId="8" fillId="3" borderId="14" xfId="1" applyFont="1" applyFill="1" applyBorder="1" applyAlignment="1">
      <alignment horizontal="center" vertical="center" wrapText="1"/>
    </xf>
    <xf numFmtId="0" fontId="21" fillId="3" borderId="14" xfId="0" applyFont="1" applyFill="1" applyBorder="1" applyAlignment="1">
      <alignment horizontal="center" vertical="center"/>
    </xf>
    <xf numFmtId="164" fontId="19" fillId="0" borderId="14" xfId="1" applyNumberFormat="1" applyFont="1" applyFill="1" applyBorder="1" applyAlignment="1">
      <alignment horizontal="center" vertical="center" wrapText="1"/>
    </xf>
    <xf numFmtId="0" fontId="25" fillId="0" borderId="0" xfId="0" applyFont="1" applyAlignment="1">
      <alignment horizontal="center" vertical="center"/>
    </xf>
    <xf numFmtId="0" fontId="25" fillId="0" borderId="29" xfId="0" applyFont="1" applyBorder="1" applyAlignment="1">
      <alignment horizontal="center" vertical="center" wrapText="1"/>
    </xf>
    <xf numFmtId="165" fontId="21" fillId="0" borderId="14" xfId="0" applyNumberFormat="1" applyFont="1" applyBorder="1" applyAlignment="1">
      <alignment horizontal="center" vertical="center" wrapText="1"/>
    </xf>
    <xf numFmtId="165" fontId="21" fillId="2" borderId="14" xfId="0" applyNumberFormat="1" applyFont="1" applyFill="1" applyBorder="1" applyAlignment="1">
      <alignment horizontal="center" vertical="center" wrapText="1"/>
    </xf>
    <xf numFmtId="0" fontId="19" fillId="0" borderId="14" xfId="0" applyFont="1" applyBorder="1"/>
    <xf numFmtId="164" fontId="19" fillId="5" borderId="14" xfId="1" applyNumberFormat="1" applyFont="1" applyFill="1" applyBorder="1" applyAlignment="1">
      <alignment horizontal="center" vertical="center" wrapText="1"/>
    </xf>
    <xf numFmtId="0" fontId="19" fillId="0" borderId="37" xfId="0" applyFont="1" applyBorder="1" applyAlignment="1">
      <alignment horizontal="left" vertical="center"/>
    </xf>
    <xf numFmtId="164" fontId="13" fillId="4" borderId="37" xfId="1" applyNumberFormat="1" applyFont="1" applyFill="1" applyBorder="1" applyAlignment="1">
      <alignment horizontal="center" vertical="center" wrapText="1"/>
    </xf>
    <xf numFmtId="43" fontId="13" fillId="4" borderId="37" xfId="1" applyFont="1" applyFill="1" applyBorder="1" applyAlignment="1">
      <alignment horizontal="center" vertical="center" wrapText="1"/>
    </xf>
    <xf numFmtId="43" fontId="13" fillId="0" borderId="37" xfId="1" applyFont="1" applyFill="1" applyBorder="1" applyAlignment="1">
      <alignment horizontal="center" vertical="center" wrapText="1"/>
    </xf>
    <xf numFmtId="164" fontId="13" fillId="0" borderId="37" xfId="1" applyNumberFormat="1" applyFont="1" applyFill="1" applyBorder="1" applyAlignment="1">
      <alignment horizontal="center" vertical="center" wrapText="1"/>
    </xf>
    <xf numFmtId="165" fontId="21" fillId="0" borderId="37" xfId="0" applyNumberFormat="1" applyFont="1" applyBorder="1" applyAlignment="1">
      <alignment horizontal="center" vertical="center" wrapText="1"/>
    </xf>
    <xf numFmtId="0" fontId="19" fillId="0" borderId="20" xfId="0" applyFont="1" applyBorder="1" applyAlignment="1">
      <alignment horizontal="left" vertical="center"/>
    </xf>
    <xf numFmtId="164" fontId="13" fillId="0" borderId="20" xfId="1" applyNumberFormat="1" applyFont="1" applyFill="1" applyBorder="1" applyAlignment="1">
      <alignment horizontal="center" vertical="center" wrapText="1"/>
    </xf>
    <xf numFmtId="43" fontId="13" fillId="4" borderId="20" xfId="1" applyFont="1" applyFill="1" applyBorder="1" applyAlignment="1">
      <alignment horizontal="center" vertical="center" wrapText="1"/>
    </xf>
    <xf numFmtId="43" fontId="13" fillId="4" borderId="21" xfId="1" applyFont="1" applyFill="1" applyBorder="1" applyAlignment="1">
      <alignment horizontal="center" vertical="center" wrapText="1"/>
    </xf>
    <xf numFmtId="43" fontId="13" fillId="4" borderId="39" xfId="1" applyFont="1" applyFill="1" applyBorder="1" applyAlignment="1">
      <alignment horizontal="center" vertical="center" wrapText="1"/>
    </xf>
    <xf numFmtId="0" fontId="4" fillId="0" borderId="23" xfId="0" applyFont="1" applyBorder="1"/>
    <xf numFmtId="0" fontId="4" fillId="0" borderId="17" xfId="0" applyFont="1" applyBorder="1"/>
    <xf numFmtId="0" fontId="8" fillId="3" borderId="17" xfId="0" applyFont="1" applyFill="1" applyBorder="1" applyAlignment="1">
      <alignment horizontal="left" vertical="center"/>
    </xf>
    <xf numFmtId="164" fontId="8" fillId="3" borderId="17" xfId="1" applyNumberFormat="1" applyFont="1" applyFill="1" applyBorder="1" applyAlignment="1">
      <alignment horizontal="center" vertical="center" wrapText="1"/>
    </xf>
    <xf numFmtId="43" fontId="8" fillId="3" borderId="17" xfId="1" applyFont="1" applyFill="1" applyBorder="1" applyAlignment="1">
      <alignment horizontal="center" vertical="center" wrapText="1"/>
    </xf>
    <xf numFmtId="0" fontId="21" fillId="3" borderId="17" xfId="0" applyFont="1" applyFill="1" applyBorder="1" applyAlignment="1">
      <alignment horizontal="center" vertical="center"/>
    </xf>
    <xf numFmtId="43" fontId="8" fillId="3" borderId="24" xfId="1" applyFont="1" applyFill="1" applyBorder="1" applyAlignment="1">
      <alignment horizontal="center" vertical="center" wrapText="1"/>
    </xf>
    <xf numFmtId="0" fontId="24" fillId="0" borderId="66" xfId="0" applyFont="1" applyBorder="1" applyAlignment="1">
      <alignment horizontal="center" vertical="center"/>
    </xf>
    <xf numFmtId="2" fontId="13" fillId="0" borderId="37" xfId="1" applyNumberFormat="1" applyFont="1" applyFill="1" applyBorder="1" applyAlignment="1">
      <alignment vertical="center" wrapText="1"/>
    </xf>
    <xf numFmtId="164" fontId="13" fillId="4" borderId="20" xfId="1" applyNumberFormat="1" applyFont="1" applyFill="1" applyBorder="1" applyAlignment="1">
      <alignment horizontal="center" vertical="center" wrapText="1"/>
    </xf>
    <xf numFmtId="2" fontId="13" fillId="0" borderId="20" xfId="1" applyNumberFormat="1" applyFont="1" applyFill="1" applyBorder="1" applyAlignment="1">
      <alignment vertical="center" wrapText="1"/>
    </xf>
    <xf numFmtId="164" fontId="8" fillId="0" borderId="20" xfId="1" applyNumberFormat="1" applyFont="1" applyFill="1" applyBorder="1" applyAlignment="1">
      <alignment horizontal="center" vertical="center" wrapText="1"/>
    </xf>
    <xf numFmtId="164" fontId="19" fillId="0" borderId="20" xfId="1" applyNumberFormat="1" applyFont="1" applyFill="1" applyBorder="1" applyAlignment="1">
      <alignment horizontal="center" vertical="center" wrapText="1"/>
    </xf>
    <xf numFmtId="43" fontId="8" fillId="0" borderId="20" xfId="1" applyFont="1" applyFill="1" applyBorder="1" applyAlignment="1">
      <alignment horizontal="center" vertical="center" wrapText="1"/>
    </xf>
    <xf numFmtId="164" fontId="22" fillId="0" borderId="8" xfId="1" applyNumberFormat="1" applyFont="1" applyBorder="1" applyAlignment="1">
      <alignment horizontal="center" vertical="center" wrapText="1"/>
    </xf>
    <xf numFmtId="164" fontId="21" fillId="0" borderId="34" xfId="1" applyNumberFormat="1" applyFont="1" applyBorder="1" applyAlignment="1">
      <alignment horizontal="center" vertical="center" wrapText="1"/>
    </xf>
    <xf numFmtId="0" fontId="21" fillId="0" borderId="14" xfId="0" applyFont="1" applyBorder="1" applyAlignment="1">
      <alignment horizontal="center" vertical="center" wrapText="1"/>
    </xf>
    <xf numFmtId="0" fontId="7" fillId="2" borderId="20" xfId="0" applyFont="1" applyFill="1" applyBorder="1" applyAlignment="1">
      <alignment vertical="center"/>
    </xf>
    <xf numFmtId="43" fontId="21" fillId="0" borderId="40" xfId="1" applyFont="1" applyBorder="1" applyAlignment="1">
      <alignment horizontal="center" vertical="center"/>
    </xf>
    <xf numFmtId="43" fontId="21" fillId="0" borderId="15" xfId="1" applyFont="1" applyBorder="1" applyAlignment="1">
      <alignment horizontal="center" vertical="center"/>
    </xf>
    <xf numFmtId="164" fontId="21" fillId="0" borderId="40" xfId="1" applyNumberFormat="1" applyFont="1" applyBorder="1" applyAlignment="1">
      <alignment horizontal="center" vertical="center"/>
    </xf>
    <xf numFmtId="164" fontId="21" fillId="0" borderId="15" xfId="1" applyNumberFormat="1" applyFont="1" applyBorder="1" applyAlignment="1">
      <alignment horizontal="center" vertical="center"/>
    </xf>
    <xf numFmtId="164" fontId="22" fillId="0" borderId="10" xfId="1" applyNumberFormat="1" applyFont="1" applyBorder="1" applyAlignment="1">
      <alignment horizontal="center" vertical="center" wrapText="1"/>
    </xf>
    <xf numFmtId="164" fontId="13" fillId="0" borderId="39" xfId="1" applyNumberFormat="1" applyFont="1" applyBorder="1" applyAlignment="1">
      <alignment vertical="center"/>
    </xf>
    <xf numFmtId="43" fontId="13" fillId="0" borderId="39" xfId="1" applyFont="1" applyBorder="1" applyAlignment="1">
      <alignment vertical="center"/>
    </xf>
    <xf numFmtId="164" fontId="19" fillId="0" borderId="3" xfId="1" applyNumberFormat="1" applyFont="1" applyBorder="1" applyAlignment="1">
      <alignment horizontal="center" vertical="center" wrapText="1"/>
    </xf>
    <xf numFmtId="164" fontId="8" fillId="0" borderId="4" xfId="1" applyNumberFormat="1" applyFont="1" applyBorder="1" applyAlignment="1">
      <alignment vertical="center"/>
    </xf>
    <xf numFmtId="43" fontId="8" fillId="0" borderId="4" xfId="1" applyFont="1" applyBorder="1" applyAlignment="1">
      <alignment vertical="center"/>
    </xf>
    <xf numFmtId="0" fontId="8" fillId="0" borderId="3"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43" fontId="7" fillId="0" borderId="0" xfId="0" applyNumberFormat="1" applyFont="1" applyAlignment="1">
      <alignment vertical="center"/>
    </xf>
    <xf numFmtId="43" fontId="13" fillId="0" borderId="35" xfId="1" applyFont="1" applyBorder="1" applyAlignment="1">
      <alignment vertical="center"/>
    </xf>
    <xf numFmtId="0" fontId="7" fillId="5" borderId="14" xfId="0" applyFont="1" applyFill="1" applyBorder="1" applyAlignment="1">
      <alignment vertical="center"/>
    </xf>
    <xf numFmtId="0" fontId="8" fillId="0" borderId="7"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0" xfId="0" applyFont="1" applyAlignment="1">
      <alignment horizontal="center" vertical="center" wrapText="1"/>
    </xf>
    <xf numFmtId="0" fontId="24" fillId="0" borderId="67" xfId="0" applyFont="1" applyBorder="1" applyAlignment="1">
      <alignment vertical="center" wrapText="1"/>
    </xf>
    <xf numFmtId="0" fontId="8" fillId="0" borderId="29" xfId="0" applyFont="1" applyBorder="1" applyAlignment="1">
      <alignment horizontal="center" vertical="center" wrapText="1"/>
    </xf>
    <xf numFmtId="0" fontId="8" fillId="0" borderId="26" xfId="0" applyFont="1" applyBorder="1" applyAlignment="1">
      <alignment horizontal="left" vertical="center" wrapText="1"/>
    </xf>
    <xf numFmtId="0" fontId="7" fillId="0" borderId="8" xfId="0" applyFont="1" applyBorder="1" applyAlignment="1">
      <alignment horizontal="center" vertical="center"/>
    </xf>
    <xf numFmtId="0" fontId="8" fillId="0" borderId="7" xfId="0" applyFont="1" applyBorder="1" applyAlignment="1">
      <alignment horizontal="left" vertical="center" wrapText="1"/>
    </xf>
    <xf numFmtId="164" fontId="8" fillId="0" borderId="21" xfId="1" applyNumberFormat="1" applyFont="1" applyFill="1" applyBorder="1" applyAlignment="1">
      <alignment horizontal="center" vertical="center" wrapText="1"/>
    </xf>
    <xf numFmtId="164" fontId="21" fillId="0" borderId="22" xfId="1" applyNumberFormat="1" applyFont="1" applyBorder="1" applyAlignment="1">
      <alignment horizontal="center" vertical="center"/>
    </xf>
    <xf numFmtId="164" fontId="21" fillId="0" borderId="21" xfId="1" applyNumberFormat="1" applyFont="1" applyBorder="1" applyAlignment="1">
      <alignment horizontal="center" vertical="center"/>
    </xf>
    <xf numFmtId="0" fontId="7" fillId="0" borderId="23" xfId="0" applyFont="1" applyBorder="1" applyAlignment="1">
      <alignment vertical="center"/>
    </xf>
    <xf numFmtId="0" fontId="7" fillId="0" borderId="17" xfId="0" applyFont="1" applyBorder="1" applyAlignment="1">
      <alignment vertical="center" wrapText="1"/>
    </xf>
    <xf numFmtId="0" fontId="8" fillId="2" borderId="17" xfId="0" applyFont="1" applyFill="1" applyBorder="1" applyAlignment="1">
      <alignment horizontal="left" vertical="center"/>
    </xf>
    <xf numFmtId="164" fontId="8" fillId="2" borderId="17" xfId="1" applyNumberFormat="1" applyFont="1" applyFill="1" applyBorder="1" applyAlignment="1">
      <alignment horizontal="center" vertical="center" wrapText="1"/>
    </xf>
    <xf numFmtId="43" fontId="8" fillId="2" borderId="17" xfId="1" applyFont="1" applyFill="1" applyBorder="1" applyAlignment="1">
      <alignment horizontal="center" vertical="center" wrapText="1"/>
    </xf>
    <xf numFmtId="0" fontId="20" fillId="0" borderId="17" xfId="0" applyFont="1" applyBorder="1" applyAlignment="1">
      <alignment horizontal="center" vertical="center"/>
    </xf>
    <xf numFmtId="43" fontId="8" fillId="0" borderId="17" xfId="1" applyFont="1" applyFill="1" applyBorder="1" applyAlignment="1">
      <alignment horizontal="center" vertical="center" wrapText="1"/>
    </xf>
    <xf numFmtId="164" fontId="8" fillId="2" borderId="24" xfId="1" applyNumberFormat="1" applyFont="1" applyFill="1" applyBorder="1" applyAlignment="1">
      <alignment horizontal="center" vertical="center" wrapText="1"/>
    </xf>
    <xf numFmtId="0" fontId="19" fillId="0" borderId="11" xfId="0" applyFont="1" applyBorder="1" applyAlignment="1">
      <alignment horizontal="center" vertical="center" wrapText="1"/>
    </xf>
    <xf numFmtId="0" fontId="8" fillId="3" borderId="7" xfId="0" applyFont="1" applyFill="1" applyBorder="1" applyAlignment="1">
      <alignment horizontal="center" vertical="center" wrapText="1"/>
    </xf>
    <xf numFmtId="0" fontId="19" fillId="0" borderId="0" xfId="0" applyFont="1" applyAlignment="1">
      <alignment horizontal="center" vertical="center" wrapText="1"/>
    </xf>
    <xf numFmtId="164" fontId="8" fillId="0" borderId="0" xfId="1" applyNumberFormat="1" applyFont="1" applyFill="1" applyBorder="1" applyAlignment="1">
      <alignment horizontal="center" vertical="center" wrapText="1"/>
    </xf>
    <xf numFmtId="164" fontId="21" fillId="0" borderId="0" xfId="1" applyNumberFormat="1" applyFont="1" applyBorder="1" applyAlignment="1">
      <alignment horizontal="center" vertical="center"/>
    </xf>
    <xf numFmtId="164" fontId="8" fillId="2" borderId="0" xfId="1" applyNumberFormat="1" applyFont="1" applyFill="1" applyBorder="1" applyAlignment="1">
      <alignment horizontal="center" vertical="center" wrapText="1"/>
    </xf>
    <xf numFmtId="164" fontId="13" fillId="0" borderId="0" xfId="1" applyNumberFormat="1" applyFont="1" applyFill="1" applyBorder="1" applyAlignment="1">
      <alignment horizontal="center" vertical="center" wrapText="1"/>
    </xf>
    <xf numFmtId="164" fontId="8" fillId="3" borderId="0" xfId="1" applyNumberFormat="1" applyFont="1" applyFill="1" applyBorder="1" applyAlignment="1">
      <alignment horizontal="center" vertical="center" wrapText="1"/>
    </xf>
    <xf numFmtId="164" fontId="8" fillId="5" borderId="0" xfId="1" applyNumberFormat="1" applyFont="1" applyFill="1" applyBorder="1" applyAlignment="1">
      <alignment horizontal="center" vertical="center" wrapText="1"/>
    </xf>
    <xf numFmtId="164" fontId="21" fillId="0" borderId="0" xfId="1" applyNumberFormat="1" applyFont="1" applyFill="1" applyBorder="1" applyAlignment="1">
      <alignment horizontal="center" vertical="center"/>
    </xf>
    <xf numFmtId="43" fontId="13" fillId="0" borderId="20" xfId="1" applyFont="1" applyFill="1" applyBorder="1" applyAlignment="1">
      <alignment horizontal="center" vertical="center" wrapText="1"/>
    </xf>
    <xf numFmtId="165" fontId="26" fillId="2" borderId="14" xfId="0" applyNumberFormat="1" applyFont="1" applyFill="1" applyBorder="1" applyAlignment="1">
      <alignment horizontal="center" vertical="center" wrapText="1"/>
    </xf>
    <xf numFmtId="43" fontId="13" fillId="0" borderId="40" xfId="1" applyFont="1" applyBorder="1" applyAlignment="1">
      <alignment horizontal="center" vertical="center"/>
    </xf>
    <xf numFmtId="43" fontId="13" fillId="0" borderId="15" xfId="1" applyFont="1" applyBorder="1" applyAlignment="1">
      <alignment horizontal="center" vertical="center"/>
    </xf>
    <xf numFmtId="0" fontId="19" fillId="2" borderId="7" xfId="0" applyFont="1" applyFill="1" applyBorder="1" applyAlignment="1">
      <alignment horizontal="left" vertical="center"/>
    </xf>
    <xf numFmtId="164" fontId="13" fillId="0" borderId="7" xfId="1" applyNumberFormat="1" applyFont="1" applyFill="1" applyBorder="1" applyAlignment="1">
      <alignment horizontal="center" vertical="center" wrapText="1"/>
    </xf>
    <xf numFmtId="43" fontId="13" fillId="0" borderId="7" xfId="1" applyFont="1" applyFill="1" applyBorder="1" applyAlignment="1">
      <alignment horizontal="center" vertical="center" wrapText="1"/>
    </xf>
    <xf numFmtId="165" fontId="21" fillId="2" borderId="7" xfId="0" applyNumberFormat="1" applyFont="1" applyFill="1" applyBorder="1" applyAlignment="1">
      <alignment horizontal="center" vertical="center" wrapText="1"/>
    </xf>
    <xf numFmtId="10" fontId="13" fillId="0" borderId="21" xfId="3" applyNumberFormat="1" applyFont="1" applyFill="1" applyBorder="1" applyAlignment="1">
      <alignment horizontal="center" vertical="center" wrapText="1"/>
    </xf>
    <xf numFmtId="164" fontId="13" fillId="0" borderId="21" xfId="1" applyNumberFormat="1" applyFont="1" applyFill="1" applyBorder="1" applyAlignment="1">
      <alignment horizontal="center" vertical="center" wrapText="1"/>
    </xf>
    <xf numFmtId="0" fontId="21" fillId="0" borderId="20" xfId="0" applyFont="1" applyBorder="1" applyAlignment="1">
      <alignment horizontal="center" vertical="center" wrapText="1"/>
    </xf>
    <xf numFmtId="43" fontId="13" fillId="4" borderId="7" xfId="1" applyFont="1" applyFill="1" applyBorder="1" applyAlignment="1">
      <alignment horizontal="center" vertical="center" wrapText="1"/>
    </xf>
    <xf numFmtId="164" fontId="13" fillId="0" borderId="11" xfId="1" applyNumberFormat="1" applyFont="1" applyFill="1" applyBorder="1" applyAlignment="1">
      <alignment horizontal="center" vertical="center" wrapText="1"/>
    </xf>
    <xf numFmtId="164" fontId="8" fillId="3" borderId="21" xfId="1" applyNumberFormat="1" applyFont="1" applyFill="1" applyBorder="1" applyAlignment="1">
      <alignment horizontal="center" vertical="center" wrapText="1"/>
    </xf>
    <xf numFmtId="164" fontId="8" fillId="3" borderId="24" xfId="1" applyNumberFormat="1" applyFont="1" applyFill="1" applyBorder="1" applyAlignment="1">
      <alignment horizontal="center" vertical="center" wrapText="1"/>
    </xf>
    <xf numFmtId="0" fontId="21" fillId="0" borderId="7" xfId="0" applyFont="1" applyBorder="1" applyAlignment="1">
      <alignment horizontal="center" vertical="center" wrapText="1"/>
    </xf>
    <xf numFmtId="164" fontId="8" fillId="3" borderId="37" xfId="1" applyNumberFormat="1" applyFont="1" applyFill="1" applyBorder="1" applyAlignment="1">
      <alignment horizontal="center" vertical="center" wrapText="1"/>
    </xf>
    <xf numFmtId="43" fontId="8" fillId="3" borderId="37" xfId="1" applyFont="1" applyFill="1" applyBorder="1" applyAlignment="1">
      <alignment horizontal="center" vertical="center" wrapText="1"/>
    </xf>
    <xf numFmtId="0" fontId="21" fillId="3" borderId="37" xfId="0" applyFont="1" applyFill="1" applyBorder="1" applyAlignment="1">
      <alignment horizontal="center" vertical="center"/>
    </xf>
    <xf numFmtId="0" fontId="25" fillId="0" borderId="44" xfId="0" applyFont="1" applyBorder="1" applyAlignment="1">
      <alignment horizontal="center" vertical="center" wrapText="1"/>
    </xf>
    <xf numFmtId="164" fontId="8" fillId="0" borderId="2" xfId="1" applyNumberFormat="1" applyFont="1" applyFill="1" applyBorder="1" applyAlignment="1">
      <alignment horizontal="center" vertical="center" wrapText="1"/>
    </xf>
    <xf numFmtId="43" fontId="8" fillId="0" borderId="2" xfId="1" applyFont="1" applyFill="1" applyBorder="1" applyAlignment="1">
      <alignment horizontal="center" vertical="center" wrapText="1"/>
    </xf>
    <xf numFmtId="164" fontId="19" fillId="0" borderId="2" xfId="1" applyNumberFormat="1" applyFont="1" applyFill="1" applyBorder="1" applyAlignment="1">
      <alignment horizontal="center" vertical="center" wrapText="1"/>
    </xf>
    <xf numFmtId="164" fontId="8" fillId="0" borderId="4" xfId="1" applyNumberFormat="1" applyFont="1" applyFill="1" applyBorder="1" applyAlignment="1">
      <alignment horizontal="center" vertical="center" wrapText="1"/>
    </xf>
    <xf numFmtId="43" fontId="8" fillId="0" borderId="0" xfId="1" applyFont="1" applyFill="1" applyBorder="1" applyAlignment="1">
      <alignment horizontal="center" vertical="center" wrapText="1"/>
    </xf>
    <xf numFmtId="164" fontId="13" fillId="0" borderId="40" xfId="1" applyNumberFormat="1" applyFont="1" applyBorder="1" applyAlignment="1">
      <alignment horizontal="center" vertical="center"/>
    </xf>
    <xf numFmtId="0" fontId="19"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4" xfId="0" applyFont="1" applyBorder="1" applyAlignment="1">
      <alignment horizontal="center" vertical="center"/>
    </xf>
    <xf numFmtId="0" fontId="8" fillId="2" borderId="7" xfId="0" applyFont="1" applyFill="1" applyBorder="1" applyAlignment="1">
      <alignment horizontal="center" vertical="center" wrapText="1"/>
    </xf>
    <xf numFmtId="43" fontId="13" fillId="0" borderId="0" xfId="1" applyFont="1" applyFill="1" applyBorder="1" applyAlignment="1">
      <alignment horizontal="center" vertical="center" wrapText="1"/>
    </xf>
    <xf numFmtId="164" fontId="7" fillId="0" borderId="0" xfId="0" applyNumberFormat="1" applyFont="1" applyAlignment="1">
      <alignment horizontal="center" vertical="center"/>
    </xf>
    <xf numFmtId="164" fontId="13" fillId="4" borderId="31" xfId="1" applyNumberFormat="1" applyFont="1" applyFill="1" applyBorder="1" applyAlignment="1">
      <alignment horizontal="center" vertical="center" wrapText="1"/>
    </xf>
    <xf numFmtId="43" fontId="13" fillId="4" borderId="31" xfId="1" applyFont="1" applyFill="1" applyBorder="1" applyAlignment="1">
      <alignment horizontal="center" vertical="center" wrapText="1"/>
    </xf>
    <xf numFmtId="43" fontId="13" fillId="0" borderId="31" xfId="1" applyFont="1" applyFill="1" applyBorder="1" applyAlignment="1">
      <alignment horizontal="center" vertical="center" wrapText="1"/>
    </xf>
    <xf numFmtId="164" fontId="13" fillId="0" borderId="31" xfId="1" applyNumberFormat="1" applyFont="1" applyFill="1" applyBorder="1" applyAlignment="1">
      <alignment horizontal="center" vertical="center" wrapText="1"/>
    </xf>
    <xf numFmtId="43" fontId="13" fillId="0" borderId="26" xfId="1"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43" fontId="8" fillId="3" borderId="2" xfId="1" applyFont="1" applyFill="1" applyBorder="1" applyAlignment="1">
      <alignment horizontal="center" vertical="center" wrapText="1"/>
    </xf>
    <xf numFmtId="0" fontId="21" fillId="3" borderId="2" xfId="0" applyFont="1" applyFill="1" applyBorder="1" applyAlignment="1">
      <alignment horizontal="center" vertical="center"/>
    </xf>
    <xf numFmtId="43" fontId="8" fillId="3" borderId="4" xfId="1" applyFont="1" applyFill="1" applyBorder="1" applyAlignment="1">
      <alignment horizontal="center" vertical="center" wrapText="1"/>
    </xf>
    <xf numFmtId="164" fontId="8" fillId="3" borderId="4" xfId="1" applyNumberFormat="1" applyFont="1" applyFill="1" applyBorder="1" applyAlignment="1">
      <alignment horizontal="center" vertical="center" wrapText="1"/>
    </xf>
    <xf numFmtId="0" fontId="21" fillId="0" borderId="17" xfId="0" applyFont="1" applyBorder="1" applyAlignment="1">
      <alignment horizontal="center" vertical="center" wrapText="1"/>
    </xf>
    <xf numFmtId="10" fontId="13" fillId="0" borderId="28" xfId="3" applyNumberFormat="1" applyFont="1" applyFill="1" applyBorder="1" applyAlignment="1">
      <alignment horizontal="center" vertical="center" wrapText="1"/>
    </xf>
    <xf numFmtId="164" fontId="13" fillId="0" borderId="45" xfId="1" applyNumberFormat="1" applyFont="1" applyFill="1" applyBorder="1" applyAlignment="1">
      <alignment horizontal="center" vertical="center" wrapText="1"/>
    </xf>
    <xf numFmtId="10" fontId="13" fillId="0" borderId="35" xfId="3" applyNumberFormat="1" applyFont="1" applyFill="1" applyBorder="1" applyAlignment="1">
      <alignment horizontal="center" vertical="center" wrapText="1"/>
    </xf>
    <xf numFmtId="164" fontId="8" fillId="3" borderId="39" xfId="1" applyNumberFormat="1" applyFont="1" applyFill="1" applyBorder="1" applyAlignment="1">
      <alignment horizontal="center" vertical="center" wrapText="1"/>
    </xf>
    <xf numFmtId="164" fontId="13" fillId="0" borderId="39" xfId="1" applyNumberFormat="1" applyFont="1" applyFill="1" applyBorder="1" applyAlignment="1">
      <alignment horizontal="center" vertical="center" wrapText="1"/>
    </xf>
    <xf numFmtId="0" fontId="8" fillId="3" borderId="45" xfId="0" applyFont="1" applyFill="1" applyBorder="1" applyAlignment="1">
      <alignment horizontal="left" vertical="center"/>
    </xf>
    <xf numFmtId="0" fontId="27" fillId="0" borderId="45" xfId="0" applyFont="1" applyBorder="1" applyAlignment="1">
      <alignment horizontal="left" vertical="center" wrapText="1"/>
    </xf>
    <xf numFmtId="165" fontId="21" fillId="0" borderId="20" xfId="0" applyNumberFormat="1" applyFont="1" applyBorder="1" applyAlignment="1">
      <alignment horizontal="center" vertical="center" wrapText="1"/>
    </xf>
    <xf numFmtId="0" fontId="8" fillId="3" borderId="16" xfId="0" applyFont="1" applyFill="1" applyBorder="1" applyAlignment="1">
      <alignment horizontal="left" vertical="center"/>
    </xf>
    <xf numFmtId="43" fontId="13" fillId="0" borderId="12" xfId="1" applyFont="1" applyFill="1" applyBorder="1" applyAlignment="1">
      <alignment horizontal="center" vertical="center" wrapText="1"/>
    </xf>
    <xf numFmtId="43" fontId="13" fillId="4" borderId="12" xfId="1" applyFont="1" applyFill="1" applyBorder="1" applyAlignment="1">
      <alignment horizontal="center" vertical="center" wrapText="1"/>
    </xf>
    <xf numFmtId="0" fontId="7" fillId="2" borderId="19" xfId="0" applyFont="1" applyFill="1" applyBorder="1" applyAlignment="1">
      <alignment vertical="center"/>
    </xf>
    <xf numFmtId="0" fontId="7" fillId="2" borderId="20" xfId="0" applyFont="1" applyFill="1" applyBorder="1" applyAlignment="1">
      <alignment vertical="center" wrapText="1"/>
    </xf>
    <xf numFmtId="164" fontId="8" fillId="2" borderId="20" xfId="1" applyNumberFormat="1" applyFont="1" applyFill="1" applyBorder="1" applyAlignment="1">
      <alignment horizontal="center" vertical="center" wrapText="1"/>
    </xf>
    <xf numFmtId="43" fontId="8" fillId="2" borderId="20" xfId="1" applyFont="1" applyFill="1" applyBorder="1" applyAlignment="1">
      <alignment horizontal="center" vertical="center" wrapText="1"/>
    </xf>
    <xf numFmtId="164" fontId="8" fillId="2" borderId="22" xfId="1" applyNumberFormat="1" applyFont="1" applyFill="1" applyBorder="1" applyAlignment="1">
      <alignment horizontal="center" vertical="center" wrapText="1"/>
    </xf>
    <xf numFmtId="164" fontId="8" fillId="0" borderId="17" xfId="1" applyNumberFormat="1" applyFont="1" applyFill="1" applyBorder="1" applyAlignment="1">
      <alignment horizontal="center" vertical="center" wrapText="1"/>
    </xf>
    <xf numFmtId="164" fontId="8" fillId="0" borderId="24" xfId="1" applyNumberFormat="1" applyFont="1" applyFill="1" applyBorder="1" applyAlignment="1">
      <alignment horizontal="center" vertical="center" wrapText="1"/>
    </xf>
    <xf numFmtId="10" fontId="13" fillId="0" borderId="22" xfId="3" applyNumberFormat="1" applyFont="1" applyFill="1" applyBorder="1" applyAlignment="1">
      <alignment horizontal="center" vertical="center" wrapText="1"/>
    </xf>
    <xf numFmtId="0" fontId="7" fillId="0" borderId="3" xfId="0" applyFont="1" applyBorder="1" applyAlignment="1">
      <alignment vertical="center"/>
    </xf>
    <xf numFmtId="0" fontId="7" fillId="0" borderId="2" xfId="0" applyFont="1" applyBorder="1" applyAlignment="1">
      <alignment vertical="center" wrapText="1"/>
    </xf>
    <xf numFmtId="164" fontId="8" fillId="2" borderId="2" xfId="1" applyNumberFormat="1" applyFont="1" applyFill="1" applyBorder="1" applyAlignment="1">
      <alignment horizontal="center" vertical="center" wrapText="1"/>
    </xf>
    <xf numFmtId="43" fontId="8" fillId="2" borderId="2" xfId="1" applyFont="1" applyFill="1" applyBorder="1" applyAlignment="1">
      <alignment horizontal="center" vertical="center" wrapText="1"/>
    </xf>
    <xf numFmtId="0" fontId="20" fillId="2" borderId="2" xfId="0" applyFont="1" applyFill="1" applyBorder="1" applyAlignment="1">
      <alignment horizontal="center" vertical="center"/>
    </xf>
    <xf numFmtId="164" fontId="8" fillId="2" borderId="4" xfId="1" applyNumberFormat="1" applyFont="1" applyFill="1" applyBorder="1" applyAlignment="1">
      <alignment horizontal="center" vertical="center" wrapText="1"/>
    </xf>
    <xf numFmtId="165" fontId="21" fillId="0" borderId="7" xfId="0" applyNumberFormat="1" applyFont="1" applyBorder="1" applyAlignment="1">
      <alignment horizontal="center" vertical="center" wrapText="1"/>
    </xf>
    <xf numFmtId="164" fontId="13" fillId="0" borderId="41" xfId="1" applyNumberFormat="1" applyFont="1" applyFill="1" applyBorder="1" applyAlignment="1">
      <alignment horizontal="center" vertical="center" wrapText="1"/>
    </xf>
    <xf numFmtId="164" fontId="13" fillId="0" borderId="30" xfId="1" applyNumberFormat="1" applyFont="1" applyFill="1" applyBorder="1" applyAlignment="1">
      <alignment horizontal="center" vertical="center" wrapText="1"/>
    </xf>
    <xf numFmtId="164" fontId="13" fillId="0" borderId="12" xfId="1" applyNumberFormat="1" applyFont="1" applyFill="1" applyBorder="1" applyAlignment="1">
      <alignment horizontal="center" vertical="center" wrapText="1"/>
    </xf>
    <xf numFmtId="164" fontId="13" fillId="0" borderId="26" xfId="1" applyNumberFormat="1" applyFont="1" applyFill="1" applyBorder="1" applyAlignment="1">
      <alignment horizontal="center" vertical="center" wrapText="1"/>
    </xf>
    <xf numFmtId="164" fontId="13" fillId="4" borderId="26" xfId="1" applyNumberFormat="1" applyFont="1" applyFill="1" applyBorder="1" applyAlignment="1">
      <alignment horizontal="center" vertical="center" wrapText="1"/>
    </xf>
    <xf numFmtId="0" fontId="11" fillId="0" borderId="7" xfId="0" applyFont="1" applyBorder="1" applyAlignment="1">
      <alignment horizontal="center" vertical="center"/>
    </xf>
    <xf numFmtId="164" fontId="8" fillId="0" borderId="7" xfId="1" applyNumberFormat="1" applyFont="1" applyFill="1" applyBorder="1" applyAlignment="1">
      <alignment horizontal="center" vertical="center" wrapText="1"/>
    </xf>
    <xf numFmtId="43" fontId="8" fillId="0" borderId="7" xfId="1" applyFont="1" applyFill="1" applyBorder="1" applyAlignment="1">
      <alignment horizontal="center" vertical="center" wrapText="1"/>
    </xf>
    <xf numFmtId="0" fontId="8" fillId="0" borderId="7" xfId="0" applyFont="1" applyBorder="1"/>
    <xf numFmtId="164" fontId="8" fillId="0" borderId="11" xfId="1" applyNumberFormat="1" applyFont="1" applyFill="1" applyBorder="1" applyAlignment="1">
      <alignment horizontal="center" vertical="center" wrapText="1"/>
    </xf>
    <xf numFmtId="164" fontId="13" fillId="0" borderId="8" xfId="1" applyNumberFormat="1" applyFont="1" applyBorder="1" applyAlignment="1">
      <alignment horizontal="center" vertical="center" wrapText="1"/>
    </xf>
    <xf numFmtId="164" fontId="13" fillId="0" borderId="10" xfId="1" applyNumberFormat="1" applyFont="1" applyBorder="1" applyAlignment="1">
      <alignment horizontal="center" vertical="center" wrapText="1"/>
    </xf>
    <xf numFmtId="164" fontId="13" fillId="0" borderId="34" xfId="1" applyNumberFormat="1" applyFont="1" applyBorder="1" applyAlignment="1">
      <alignment horizontal="center" vertical="center" wrapText="1"/>
    </xf>
    <xf numFmtId="0" fontId="28" fillId="0" borderId="14" xfId="0" applyFont="1" applyBorder="1" applyAlignment="1">
      <alignment horizontal="left" vertical="center"/>
    </xf>
    <xf numFmtId="0" fontId="28" fillId="2" borderId="2" xfId="0" applyFont="1" applyFill="1" applyBorder="1" applyAlignment="1">
      <alignment horizontal="left" vertical="center"/>
    </xf>
    <xf numFmtId="0" fontId="28" fillId="0" borderId="0" xfId="0" applyFont="1" applyAlignment="1">
      <alignment horizontal="left" vertical="center" wrapText="1"/>
    </xf>
    <xf numFmtId="0" fontId="28" fillId="0" borderId="20" xfId="0" applyFont="1" applyBorder="1" applyAlignment="1">
      <alignment horizontal="left" vertical="center"/>
    </xf>
    <xf numFmtId="0" fontId="28" fillId="3" borderId="37" xfId="0" applyFont="1" applyFill="1" applyBorder="1" applyAlignment="1">
      <alignment horizontal="left" vertical="center"/>
    </xf>
    <xf numFmtId="0" fontId="28" fillId="0" borderId="7" xfId="0" applyFont="1" applyBorder="1" applyAlignment="1">
      <alignment horizontal="left" vertical="center"/>
    </xf>
    <xf numFmtId="0" fontId="28" fillId="0" borderId="45" xfId="0" applyFont="1" applyBorder="1" applyAlignment="1">
      <alignment horizontal="left" vertical="center"/>
    </xf>
    <xf numFmtId="0" fontId="28" fillId="0" borderId="30" xfId="0" applyFont="1" applyBorder="1" applyAlignment="1">
      <alignment horizontal="left" vertical="center"/>
    </xf>
    <xf numFmtId="0" fontId="28" fillId="3" borderId="44" xfId="0" applyFont="1" applyFill="1" applyBorder="1" applyAlignment="1">
      <alignment horizontal="left" vertical="center"/>
    </xf>
    <xf numFmtId="0" fontId="28" fillId="0" borderId="29" xfId="0" applyFont="1" applyBorder="1" applyAlignment="1">
      <alignment horizontal="left" vertical="center"/>
    </xf>
    <xf numFmtId="0" fontId="28" fillId="3" borderId="45" xfId="0" applyFont="1" applyFill="1" applyBorder="1" applyAlignment="1">
      <alignment horizontal="left" vertical="center"/>
    </xf>
    <xf numFmtId="0" fontId="28" fillId="0" borderId="26" xfId="0" applyFont="1" applyBorder="1" applyAlignment="1">
      <alignment horizontal="left" vertical="center"/>
    </xf>
    <xf numFmtId="0" fontId="28" fillId="3" borderId="17" xfId="0" applyFont="1" applyFill="1" applyBorder="1" applyAlignment="1">
      <alignment horizontal="left" vertical="center"/>
    </xf>
    <xf numFmtId="0" fontId="28" fillId="0" borderId="2" xfId="0" applyFont="1" applyBorder="1" applyAlignment="1">
      <alignment horizontal="left" vertical="center"/>
    </xf>
    <xf numFmtId="0" fontId="28" fillId="3" borderId="54" xfId="0" applyFont="1" applyFill="1" applyBorder="1" applyAlignment="1">
      <alignment horizontal="left" vertical="center"/>
    </xf>
    <xf numFmtId="164" fontId="8" fillId="3" borderId="31" xfId="1" applyNumberFormat="1" applyFont="1" applyFill="1" applyBorder="1" applyAlignment="1">
      <alignment horizontal="center" vertical="center" wrapText="1"/>
    </xf>
    <xf numFmtId="43" fontId="8" fillId="3" borderId="31" xfId="1" applyFont="1" applyFill="1" applyBorder="1" applyAlignment="1">
      <alignment horizontal="center" vertical="center" wrapText="1"/>
    </xf>
    <xf numFmtId="0" fontId="21" fillId="3" borderId="31" xfId="0" applyFont="1" applyFill="1" applyBorder="1" applyAlignment="1">
      <alignment horizontal="center" vertical="center"/>
    </xf>
    <xf numFmtId="164" fontId="8" fillId="3" borderId="28" xfId="1" applyNumberFormat="1"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5" fillId="0" borderId="6" xfId="0" applyFont="1" applyBorder="1" applyAlignment="1">
      <alignment horizontal="center" vertical="center"/>
    </xf>
    <xf numFmtId="0" fontId="28" fillId="0" borderId="36" xfId="0" applyFont="1" applyBorder="1" applyAlignment="1">
      <alignment horizontal="left" vertical="center"/>
    </xf>
    <xf numFmtId="0" fontId="28" fillId="0" borderId="41" xfId="0" applyFont="1" applyBorder="1" applyAlignment="1">
      <alignment horizontal="left" vertical="center"/>
    </xf>
    <xf numFmtId="164" fontId="29" fillId="0" borderId="22" xfId="1" applyNumberFormat="1" applyFont="1" applyBorder="1" applyAlignment="1">
      <alignment horizontal="center" vertical="center"/>
    </xf>
    <xf numFmtId="43" fontId="30" fillId="2" borderId="4" xfId="1" applyFont="1" applyFill="1" applyBorder="1" applyAlignment="1">
      <alignment horizontal="center" vertical="center" wrapText="1"/>
    </xf>
    <xf numFmtId="43" fontId="7" fillId="0" borderId="14" xfId="0" applyNumberFormat="1" applyFont="1" applyBorder="1" applyAlignment="1">
      <alignment vertical="center"/>
    </xf>
    <xf numFmtId="0" fontId="28" fillId="0" borderId="3" xfId="0" applyFont="1" applyBorder="1" applyAlignment="1">
      <alignment horizontal="left" vertical="center"/>
    </xf>
    <xf numFmtId="0" fontId="21" fillId="0" borderId="2" xfId="0" applyFont="1" applyBorder="1" applyAlignment="1">
      <alignment horizontal="center" vertical="center"/>
    </xf>
    <xf numFmtId="0" fontId="20" fillId="0" borderId="0" xfId="0" applyFont="1" applyAlignment="1">
      <alignment horizontal="center" vertical="center"/>
    </xf>
    <xf numFmtId="43" fontId="30" fillId="0" borderId="0" xfId="1" applyFont="1" applyFill="1" applyBorder="1" applyAlignment="1">
      <alignment horizontal="center" vertical="center" wrapText="1"/>
    </xf>
    <xf numFmtId="43" fontId="7" fillId="0" borderId="0" xfId="1" applyFont="1" applyFill="1"/>
    <xf numFmtId="0" fontId="11" fillId="0" borderId="83" xfId="0" applyFont="1" applyBorder="1" applyAlignment="1">
      <alignment vertical="center" wrapText="1"/>
    </xf>
    <xf numFmtId="165" fontId="26" fillId="0" borderId="14" xfId="0" applyNumberFormat="1" applyFont="1" applyBorder="1" applyAlignment="1">
      <alignment horizontal="center" vertical="center" wrapText="1"/>
    </xf>
    <xf numFmtId="0" fontId="28" fillId="0" borderId="1" xfId="0" applyFont="1" applyBorder="1" applyAlignment="1">
      <alignment horizontal="left" vertical="center"/>
    </xf>
    <xf numFmtId="0" fontId="21" fillId="0" borderId="7" xfId="0" applyFont="1" applyBorder="1" applyAlignment="1">
      <alignment horizontal="center" vertical="center"/>
    </xf>
    <xf numFmtId="14" fontId="21" fillId="0" borderId="14" xfId="0" applyNumberFormat="1" applyFont="1" applyBorder="1" applyAlignment="1">
      <alignment horizontal="center" vertical="center"/>
    </xf>
    <xf numFmtId="43" fontId="22" fillId="0" borderId="14" xfId="0" applyNumberFormat="1" applyFont="1" applyBorder="1" applyAlignment="1">
      <alignment vertical="center"/>
    </xf>
    <xf numFmtId="164" fontId="13" fillId="0" borderId="2" xfId="1" applyNumberFormat="1" applyFont="1" applyFill="1" applyBorder="1" applyAlignment="1">
      <alignment horizontal="center" vertical="center" wrapText="1"/>
    </xf>
    <xf numFmtId="2" fontId="13" fillId="0" borderId="2" xfId="1" applyNumberFormat="1" applyFont="1" applyFill="1" applyBorder="1" applyAlignment="1">
      <alignment vertical="center" wrapText="1"/>
    </xf>
    <xf numFmtId="43" fontId="13" fillId="0" borderId="2" xfId="1" applyFont="1" applyFill="1" applyBorder="1" applyAlignment="1">
      <alignment horizontal="center" vertical="center" wrapText="1"/>
    </xf>
    <xf numFmtId="0" fontId="19" fillId="0" borderId="2" xfId="0" applyFont="1" applyBorder="1"/>
    <xf numFmtId="164" fontId="13" fillId="0" borderId="4" xfId="1" applyNumberFormat="1" applyFont="1" applyFill="1" applyBorder="1" applyAlignment="1">
      <alignment horizontal="center" vertical="center" wrapText="1"/>
    </xf>
    <xf numFmtId="0" fontId="28" fillId="3" borderId="3" xfId="0" applyFont="1" applyFill="1" applyBorder="1" applyAlignment="1">
      <alignment horizontal="left" vertical="center"/>
    </xf>
    <xf numFmtId="0" fontId="24" fillId="0" borderId="55" xfId="0" applyFont="1" applyBorder="1" applyAlignment="1">
      <alignment horizontal="center" vertical="center"/>
    </xf>
    <xf numFmtId="0" fontId="28" fillId="0" borderId="37" xfId="0" applyFont="1" applyBorder="1" applyAlignment="1">
      <alignment horizontal="left" vertical="center"/>
    </xf>
    <xf numFmtId="0" fontId="20" fillId="0" borderId="37" xfId="0" applyFont="1" applyBorder="1" applyAlignment="1">
      <alignment horizontal="center" vertical="center"/>
    </xf>
    <xf numFmtId="164" fontId="8" fillId="0" borderId="39" xfId="1" applyNumberFormat="1" applyFont="1" applyFill="1" applyBorder="1" applyAlignment="1">
      <alignment horizontal="center" vertical="center" wrapText="1"/>
    </xf>
    <xf numFmtId="0" fontId="25" fillId="0" borderId="85" xfId="0" applyFont="1" applyBorder="1" applyAlignment="1">
      <alignment vertical="center"/>
    </xf>
    <xf numFmtId="0" fontId="25" fillId="0" borderId="44" xfId="0" applyFont="1" applyBorder="1" applyAlignment="1">
      <alignment vertical="center" wrapText="1"/>
    </xf>
    <xf numFmtId="43" fontId="8" fillId="0" borderId="4" xfId="1" applyFont="1" applyFill="1" applyBorder="1" applyAlignment="1">
      <alignment horizontal="center" vertical="center" wrapText="1"/>
    </xf>
    <xf numFmtId="0" fontId="20" fillId="0" borderId="14" xfId="0" applyFont="1" applyBorder="1" applyAlignment="1">
      <alignment horizontal="center" vertical="center" wrapText="1"/>
    </xf>
    <xf numFmtId="0" fontId="11" fillId="0" borderId="26" xfId="0" applyFont="1" applyBorder="1" applyAlignment="1">
      <alignment horizontal="center" vertical="center"/>
    </xf>
    <xf numFmtId="164" fontId="8" fillId="0" borderId="26" xfId="1" applyNumberFormat="1" applyFont="1" applyFill="1" applyBorder="1" applyAlignment="1">
      <alignment horizontal="center" vertical="center" wrapText="1"/>
    </xf>
    <xf numFmtId="43" fontId="8" fillId="0" borderId="26" xfId="1" applyFont="1" applyFill="1" applyBorder="1" applyAlignment="1">
      <alignment horizontal="center" vertical="center" wrapText="1"/>
    </xf>
    <xf numFmtId="0" fontId="8" fillId="0" borderId="26" xfId="0" applyFont="1" applyBorder="1"/>
    <xf numFmtId="0" fontId="20" fillId="0" borderId="7" xfId="0" applyFont="1" applyBorder="1" applyAlignment="1">
      <alignment horizontal="center" vertical="center" wrapText="1"/>
    </xf>
    <xf numFmtId="10" fontId="13" fillId="0" borderId="11" xfId="3" applyNumberFormat="1" applyFont="1" applyFill="1" applyBorder="1" applyAlignment="1">
      <alignment horizontal="center" vertical="center" wrapText="1"/>
    </xf>
    <xf numFmtId="164" fontId="8" fillId="0" borderId="35" xfId="1" applyNumberFormat="1" applyFont="1" applyFill="1" applyBorder="1" applyAlignment="1">
      <alignment horizontal="center" vertical="center" wrapText="1"/>
    </xf>
    <xf numFmtId="0" fontId="8" fillId="0" borderId="7" xfId="0" applyFont="1" applyBorder="1" applyAlignment="1">
      <alignment horizontal="left" vertical="center"/>
    </xf>
    <xf numFmtId="43" fontId="13" fillId="0" borderId="13" xfId="1" applyFont="1" applyBorder="1" applyAlignment="1">
      <alignment horizontal="center" vertical="center"/>
    </xf>
    <xf numFmtId="164" fontId="13" fillId="0" borderId="13" xfId="1" applyNumberFormat="1" applyFont="1" applyBorder="1" applyAlignment="1">
      <alignment horizontal="center" vertical="center"/>
    </xf>
    <xf numFmtId="164" fontId="21" fillId="0" borderId="13" xfId="1" applyNumberFormat="1" applyFont="1" applyBorder="1" applyAlignment="1">
      <alignment horizontal="center" vertical="center"/>
    </xf>
    <xf numFmtId="0" fontId="20" fillId="0" borderId="7" xfId="0" applyFont="1" applyBorder="1" applyAlignment="1">
      <alignment horizontal="center" vertical="center"/>
    </xf>
    <xf numFmtId="164" fontId="29" fillId="0" borderId="11" xfId="1" applyNumberFormat="1" applyFont="1" applyBorder="1" applyAlignment="1">
      <alignment horizontal="center" vertical="center"/>
    </xf>
    <xf numFmtId="0" fontId="8" fillId="0" borderId="17" xfId="0" applyFont="1" applyBorder="1" applyAlignment="1">
      <alignment horizontal="left" vertical="center"/>
    </xf>
    <xf numFmtId="43" fontId="13" fillId="4" borderId="17" xfId="1" applyFont="1" applyFill="1" applyBorder="1" applyAlignment="1">
      <alignment horizontal="center" vertical="center" wrapText="1"/>
    </xf>
    <xf numFmtId="43" fontId="13" fillId="0" borderId="84" xfId="1" applyFont="1" applyBorder="1" applyAlignment="1">
      <alignment horizontal="center" vertical="center"/>
    </xf>
    <xf numFmtId="164" fontId="13" fillId="0" borderId="84" xfId="1" applyNumberFormat="1" applyFont="1" applyBorder="1" applyAlignment="1">
      <alignment horizontal="center" vertical="center"/>
    </xf>
    <xf numFmtId="164" fontId="21" fillId="0" borderId="84" xfId="1" applyNumberFormat="1" applyFont="1" applyBorder="1" applyAlignment="1">
      <alignment horizontal="center" vertical="center"/>
    </xf>
    <xf numFmtId="164" fontId="29" fillId="0" borderId="24" xfId="1" applyNumberFormat="1" applyFont="1" applyBorder="1" applyAlignment="1">
      <alignment horizontal="center" vertical="center"/>
    </xf>
    <xf numFmtId="165" fontId="31" fillId="0" borderId="14" xfId="0" applyNumberFormat="1" applyFont="1" applyBorder="1" applyAlignment="1">
      <alignment horizontal="center" vertical="center" wrapText="1"/>
    </xf>
    <xf numFmtId="164" fontId="13" fillId="0" borderId="14" xfId="1" applyNumberFormat="1" applyFont="1" applyFill="1" applyBorder="1" applyAlignment="1">
      <alignment vertical="center" wrapText="1"/>
    </xf>
    <xf numFmtId="164" fontId="13" fillId="0" borderId="14" xfId="1" applyNumberFormat="1" applyFont="1" applyFill="1" applyBorder="1" applyAlignment="1">
      <alignment horizontal="center" vertical="center"/>
    </xf>
    <xf numFmtId="43" fontId="13" fillId="0" borderId="14" xfId="1" applyFont="1" applyFill="1" applyBorder="1" applyAlignment="1">
      <alignment horizontal="center" vertical="center"/>
    </xf>
    <xf numFmtId="164" fontId="8" fillId="3" borderId="46" xfId="1" applyNumberFormat="1" applyFont="1" applyFill="1" applyBorder="1" applyAlignment="1">
      <alignment horizontal="center" vertical="center" wrapText="1"/>
    </xf>
    <xf numFmtId="43" fontId="21" fillId="0" borderId="14" xfId="1" applyFont="1" applyFill="1" applyBorder="1" applyAlignment="1">
      <alignment horizontal="center" vertical="center"/>
    </xf>
    <xf numFmtId="164" fontId="13" fillId="0" borderId="37" xfId="1" applyNumberFormat="1" applyFont="1" applyFill="1" applyBorder="1" applyAlignment="1">
      <alignment vertical="center" wrapText="1"/>
    </xf>
    <xf numFmtId="164" fontId="13" fillId="0" borderId="37" xfId="1" applyNumberFormat="1" applyFont="1" applyFill="1" applyBorder="1" applyAlignment="1">
      <alignment horizontal="center" vertical="center"/>
    </xf>
    <xf numFmtId="43" fontId="13" fillId="0" borderId="37" xfId="1" applyFont="1" applyFill="1" applyBorder="1" applyAlignment="1">
      <alignment horizontal="center" vertical="center"/>
    </xf>
    <xf numFmtId="0" fontId="21" fillId="0" borderId="37" xfId="0" applyFont="1" applyBorder="1" applyAlignment="1">
      <alignment horizontal="center" vertical="center" wrapText="1"/>
    </xf>
    <xf numFmtId="164" fontId="8" fillId="3" borderId="81" xfId="1" applyNumberFormat="1" applyFont="1" applyFill="1" applyBorder="1" applyAlignment="1">
      <alignment horizontal="center" vertical="center" wrapText="1"/>
    </xf>
    <xf numFmtId="0" fontId="19" fillId="0" borderId="51" xfId="0" applyFont="1" applyBorder="1" applyAlignment="1">
      <alignment horizontal="center" vertical="center" wrapText="1"/>
    </xf>
    <xf numFmtId="0" fontId="7" fillId="0" borderId="3" xfId="0" applyFont="1" applyBorder="1" applyAlignment="1">
      <alignment horizontal="center" vertical="center"/>
    </xf>
    <xf numFmtId="0" fontId="8"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43" fontId="22" fillId="0" borderId="20" xfId="0" applyNumberFormat="1" applyFont="1" applyBorder="1" applyAlignment="1">
      <alignment vertical="center"/>
    </xf>
    <xf numFmtId="164" fontId="8" fillId="0" borderId="44" xfId="1" applyNumberFormat="1" applyFont="1" applyFill="1" applyBorder="1" applyAlignment="1">
      <alignment horizontal="center" vertical="center" wrapText="1"/>
    </xf>
    <xf numFmtId="0" fontId="28" fillId="0" borderId="0" xfId="0" applyFont="1" applyAlignment="1">
      <alignment horizontal="left" vertical="center"/>
    </xf>
    <xf numFmtId="0" fontId="21" fillId="0" borderId="0" xfId="0" applyFont="1" applyAlignment="1">
      <alignment horizontal="center" vertical="center"/>
    </xf>
    <xf numFmtId="0" fontId="10" fillId="0" borderId="0" xfId="0" applyFont="1"/>
    <xf numFmtId="164" fontId="8" fillId="3" borderId="29" xfId="1" applyNumberFormat="1" applyFont="1" applyFill="1" applyBorder="1" applyAlignment="1">
      <alignment horizontal="center" vertical="center" wrapText="1"/>
    </xf>
    <xf numFmtId="164" fontId="8" fillId="3" borderId="35"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43" fontId="12" fillId="0" borderId="2" xfId="1" applyFont="1" applyFill="1" applyBorder="1" applyAlignment="1">
      <alignment horizontal="center" vertical="center" wrapText="1"/>
    </xf>
    <xf numFmtId="164" fontId="12" fillId="0" borderId="31" xfId="1" applyNumberFormat="1" applyFont="1" applyFill="1" applyBorder="1" applyAlignment="1">
      <alignment horizontal="center" vertical="center" wrapText="1"/>
    </xf>
    <xf numFmtId="43" fontId="12" fillId="0" borderId="31" xfId="1" applyFont="1" applyFill="1" applyBorder="1" applyAlignment="1">
      <alignment horizontal="center" vertical="center" wrapText="1"/>
    </xf>
    <xf numFmtId="43" fontId="13" fillId="2" borderId="20" xfId="1" applyFont="1" applyFill="1" applyBorder="1" applyAlignment="1">
      <alignment horizontal="center" vertical="center" wrapText="1"/>
    </xf>
    <xf numFmtId="164" fontId="13" fillId="0" borderId="22" xfId="1" applyNumberFormat="1" applyFont="1" applyFill="1" applyBorder="1" applyAlignment="1">
      <alignment horizontal="center" vertical="center" wrapText="1"/>
    </xf>
    <xf numFmtId="0" fontId="8" fillId="0" borderId="14" xfId="0" applyFont="1" applyBorder="1" applyAlignment="1">
      <alignment vertical="center" wrapText="1"/>
    </xf>
    <xf numFmtId="0" fontId="7" fillId="0" borderId="61" xfId="0" applyFont="1" applyBorder="1"/>
    <xf numFmtId="0" fontId="11" fillId="0" borderId="42" xfId="0" applyFont="1" applyBorder="1" applyAlignment="1">
      <alignment vertical="center"/>
    </xf>
    <xf numFmtId="0" fontId="8" fillId="0" borderId="12" xfId="0" applyFont="1" applyBorder="1" applyAlignment="1">
      <alignment horizontal="center" vertical="center" wrapText="1"/>
    </xf>
    <xf numFmtId="0" fontId="11" fillId="2" borderId="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29" xfId="0" applyFont="1" applyBorder="1" applyAlignment="1">
      <alignment horizontal="left" vertical="center"/>
    </xf>
    <xf numFmtId="164" fontId="33" fillId="0" borderId="7" xfId="1" applyNumberFormat="1" applyFont="1" applyFill="1" applyBorder="1" applyAlignment="1">
      <alignment horizontal="center" vertical="center" wrapText="1"/>
    </xf>
    <xf numFmtId="164" fontId="33" fillId="0" borderId="20" xfId="1" applyNumberFormat="1" applyFont="1" applyFill="1" applyBorder="1" applyAlignment="1">
      <alignment horizontal="center" vertical="center" wrapText="1"/>
    </xf>
    <xf numFmtId="164" fontId="33" fillId="0" borderId="26"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43" fontId="33" fillId="0" borderId="7" xfId="1" applyFont="1" applyFill="1" applyBorder="1" applyAlignment="1">
      <alignment horizontal="center" vertical="center" wrapText="1"/>
    </xf>
    <xf numFmtId="43" fontId="33" fillId="2" borderId="7" xfId="1" applyFont="1" applyFill="1" applyBorder="1" applyAlignment="1">
      <alignment horizontal="center" vertical="center" wrapText="1"/>
    </xf>
    <xf numFmtId="43" fontId="33" fillId="0" borderId="20" xfId="1" applyFont="1" applyFill="1" applyBorder="1" applyAlignment="1">
      <alignment horizontal="center" vertical="center" wrapText="1"/>
    </xf>
    <xf numFmtId="43" fontId="33" fillId="2" borderId="20" xfId="1" applyFont="1" applyFill="1" applyBorder="1" applyAlignment="1">
      <alignment horizontal="center" vertical="center" wrapText="1"/>
    </xf>
    <xf numFmtId="43" fontId="33" fillId="0" borderId="26" xfId="1" applyFont="1" applyFill="1" applyBorder="1" applyAlignment="1">
      <alignment horizontal="center" vertical="center" wrapText="1"/>
    </xf>
    <xf numFmtId="0" fontId="10" fillId="0" borderId="44" xfId="0" applyFont="1" applyBorder="1" applyAlignment="1">
      <alignment horizontal="left" vertical="center"/>
    </xf>
    <xf numFmtId="43" fontId="10" fillId="0" borderId="2" xfId="1" applyFont="1" applyFill="1" applyBorder="1" applyAlignment="1">
      <alignment horizontal="center" vertical="center" wrapText="1"/>
    </xf>
    <xf numFmtId="165" fontId="34" fillId="0" borderId="7" xfId="0" applyNumberFormat="1" applyFont="1" applyBorder="1" applyAlignment="1">
      <alignment horizontal="center" vertical="center" wrapText="1"/>
    </xf>
    <xf numFmtId="43" fontId="9" fillId="0" borderId="11" xfId="1" applyFont="1" applyFill="1" applyBorder="1" applyAlignment="1">
      <alignment horizontal="center" vertical="center" wrapText="1"/>
    </xf>
    <xf numFmtId="165" fontId="34" fillId="0" borderId="20" xfId="0" applyNumberFormat="1" applyFont="1" applyBorder="1" applyAlignment="1">
      <alignment horizontal="center" vertical="center" wrapText="1"/>
    </xf>
    <xf numFmtId="43" fontId="9" fillId="0" borderId="22" xfId="1" applyFont="1" applyFill="1" applyBorder="1" applyAlignment="1">
      <alignment horizontal="center" vertical="center" wrapText="1"/>
    </xf>
    <xf numFmtId="165" fontId="34" fillId="0" borderId="14" xfId="0" applyNumberFormat="1" applyFont="1" applyBorder="1" applyAlignment="1">
      <alignment horizontal="center" vertical="center" wrapText="1"/>
    </xf>
    <xf numFmtId="43" fontId="11" fillId="0" borderId="4" xfId="1" applyFont="1" applyFill="1" applyBorder="1" applyAlignment="1">
      <alignment horizontal="center" vertical="center" wrapText="1"/>
    </xf>
    <xf numFmtId="43" fontId="8" fillId="0" borderId="14" xfId="1" applyFont="1" applyBorder="1" applyAlignment="1">
      <alignment vertical="center"/>
    </xf>
    <xf numFmtId="164" fontId="33" fillId="0" borderId="7" xfId="1" applyNumberFormat="1" applyFont="1" applyFill="1" applyBorder="1" applyAlignment="1">
      <alignment vertical="center" wrapText="1"/>
    </xf>
    <xf numFmtId="164" fontId="33" fillId="0" borderId="20" xfId="1" applyNumberFormat="1" applyFont="1" applyFill="1" applyBorder="1" applyAlignment="1">
      <alignment vertical="center" wrapText="1"/>
    </xf>
    <xf numFmtId="164" fontId="33" fillId="0" borderId="26" xfId="1" applyNumberFormat="1" applyFont="1" applyFill="1" applyBorder="1" applyAlignment="1">
      <alignment vertical="center" wrapText="1"/>
    </xf>
    <xf numFmtId="164" fontId="11" fillId="0" borderId="4" xfId="1" applyNumberFormat="1" applyFont="1" applyFill="1" applyBorder="1" applyAlignment="1">
      <alignment vertical="center" wrapText="1"/>
    </xf>
    <xf numFmtId="0" fontId="19" fillId="0" borderId="3" xfId="0" applyFont="1" applyBorder="1" applyAlignment="1">
      <alignment horizontal="center" vertical="center"/>
    </xf>
    <xf numFmtId="0" fontId="11" fillId="0" borderId="8" xfId="0" applyFont="1" applyBorder="1" applyAlignment="1">
      <alignment vertical="center"/>
    </xf>
    <xf numFmtId="0" fontId="11" fillId="0" borderId="19" xfId="0" applyFont="1" applyBorder="1" applyAlignment="1">
      <alignment vertical="center"/>
    </xf>
    <xf numFmtId="0" fontId="11" fillId="0" borderId="29" xfId="0" applyFont="1" applyBorder="1" applyAlignment="1">
      <alignment vertical="center"/>
    </xf>
    <xf numFmtId="43" fontId="13" fillId="2" borderId="20" xfId="1" applyFont="1" applyFill="1" applyBorder="1" applyAlignment="1">
      <alignment vertical="center" wrapText="1"/>
    </xf>
    <xf numFmtId="43" fontId="11" fillId="0" borderId="4" xfId="1" applyFont="1" applyFill="1" applyBorder="1" applyAlignment="1">
      <alignment vertical="center" wrapText="1"/>
    </xf>
    <xf numFmtId="164" fontId="33" fillId="0" borderId="14" xfId="1" applyNumberFormat="1" applyFont="1" applyFill="1" applyBorder="1" applyAlignment="1">
      <alignment vertical="center" wrapText="1"/>
    </xf>
    <xf numFmtId="43" fontId="33" fillId="0" borderId="14" xfId="1" applyFont="1" applyFill="1" applyBorder="1" applyAlignment="1">
      <alignment vertical="center" wrapText="1"/>
    </xf>
    <xf numFmtId="43" fontId="13" fillId="2" borderId="14" xfId="1" applyFont="1" applyFill="1" applyBorder="1" applyAlignment="1">
      <alignment vertical="center" wrapText="1"/>
    </xf>
    <xf numFmtId="43" fontId="9" fillId="0" borderId="21" xfId="1" applyFont="1" applyFill="1" applyBorder="1" applyAlignment="1">
      <alignment vertical="center" wrapText="1"/>
    </xf>
    <xf numFmtId="164" fontId="11" fillId="0" borderId="20" xfId="1" applyNumberFormat="1" applyFont="1" applyFill="1" applyBorder="1" applyAlignment="1">
      <alignment horizontal="right" vertical="center" wrapText="1"/>
    </xf>
    <xf numFmtId="164" fontId="10" fillId="0" borderId="20" xfId="1" applyNumberFormat="1" applyFont="1" applyFill="1" applyBorder="1" applyAlignment="1">
      <alignment vertical="center" wrapText="1"/>
    </xf>
    <xf numFmtId="43" fontId="10" fillId="0" borderId="20" xfId="1" applyFont="1" applyFill="1" applyBorder="1" applyAlignment="1">
      <alignment vertical="center" wrapText="1"/>
    </xf>
    <xf numFmtId="43" fontId="10" fillId="0" borderId="20" xfId="1" applyFont="1" applyFill="1" applyBorder="1" applyAlignment="1">
      <alignment horizontal="center" vertical="center" wrapText="1"/>
    </xf>
    <xf numFmtId="0" fontId="28" fillId="0" borderId="5" xfId="0" applyFont="1" applyBorder="1" applyAlignment="1">
      <alignment horizontal="left" vertical="center"/>
    </xf>
    <xf numFmtId="43" fontId="8" fillId="0" borderId="5" xfId="1" applyFont="1" applyFill="1" applyBorder="1" applyAlignment="1">
      <alignment horizontal="center" vertical="center" wrapText="1"/>
    </xf>
    <xf numFmtId="0" fontId="21" fillId="0" borderId="5" xfId="0" applyFont="1" applyBorder="1" applyAlignment="1">
      <alignment horizontal="center" vertical="center"/>
    </xf>
    <xf numFmtId="0" fontId="0" fillId="0" borderId="0" xfId="0" applyAlignment="1"/>
    <xf numFmtId="0" fontId="34" fillId="0" borderId="0" xfId="0" applyFont="1" applyBorder="1" applyAlignment="1">
      <alignment horizontal="center"/>
    </xf>
    <xf numFmtId="0" fontId="0" fillId="0" borderId="0" xfId="0" applyAlignment="1">
      <alignment vertical="center"/>
    </xf>
    <xf numFmtId="0" fontId="6" fillId="0" borderId="14" xfId="0" applyFont="1" applyBorder="1" applyAlignment="1">
      <alignment horizontal="center" vertical="center"/>
    </xf>
    <xf numFmtId="0" fontId="6" fillId="0" borderId="14" xfId="0" applyFont="1" applyBorder="1" applyAlignment="1">
      <alignment vertical="center"/>
    </xf>
    <xf numFmtId="43" fontId="6" fillId="0" borderId="14" xfId="1" applyFont="1" applyBorder="1" applyAlignment="1">
      <alignment vertical="center"/>
    </xf>
    <xf numFmtId="0" fontId="6" fillId="0" borderId="0" xfId="0" applyFont="1"/>
    <xf numFmtId="43" fontId="12" fillId="0" borderId="31" xfId="1" applyFont="1" applyFill="1" applyBorder="1" applyAlignment="1">
      <alignment horizontal="right" vertical="center" wrapText="1"/>
    </xf>
    <xf numFmtId="165" fontId="31" fillId="0" borderId="7" xfId="0" applyNumberFormat="1" applyFont="1" applyFill="1" applyBorder="1" applyAlignment="1">
      <alignment horizontal="center" vertical="center" wrapText="1"/>
    </xf>
    <xf numFmtId="0" fontId="28" fillId="0" borderId="41" xfId="0" applyFont="1" applyFill="1" applyBorder="1" applyAlignment="1">
      <alignment horizontal="left" vertical="center"/>
    </xf>
    <xf numFmtId="165" fontId="31" fillId="0" borderId="14" xfId="0" applyNumberFormat="1" applyFont="1" applyFill="1" applyBorder="1" applyAlignment="1">
      <alignment horizontal="center" vertical="center" wrapText="1"/>
    </xf>
    <xf numFmtId="0" fontId="28" fillId="0" borderId="45" xfId="0" applyFont="1" applyFill="1" applyBorder="1" applyAlignment="1">
      <alignment horizontal="left" vertical="center"/>
    </xf>
    <xf numFmtId="165" fontId="31" fillId="0" borderId="20" xfId="0" applyNumberFormat="1" applyFont="1" applyFill="1" applyBorder="1" applyAlignment="1">
      <alignment horizontal="center" vertical="center" wrapText="1"/>
    </xf>
    <xf numFmtId="0" fontId="28" fillId="0" borderId="19"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54" xfId="0" applyFont="1" applyFill="1" applyBorder="1" applyAlignment="1">
      <alignment horizontal="left" vertical="center"/>
    </xf>
    <xf numFmtId="0" fontId="28" fillId="0" borderId="30" xfId="0" applyFont="1" applyFill="1" applyBorder="1" applyAlignment="1">
      <alignment horizontal="left" vertical="center"/>
    </xf>
    <xf numFmtId="164" fontId="8" fillId="0" borderId="31" xfId="1" applyNumberFormat="1" applyFont="1" applyFill="1" applyBorder="1" applyAlignment="1">
      <alignment horizontal="center" vertical="center" wrapText="1"/>
    </xf>
    <xf numFmtId="0" fontId="28" fillId="0" borderId="9" xfId="0" applyFont="1" applyFill="1" applyBorder="1" applyAlignment="1">
      <alignment horizontal="left" vertical="center"/>
    </xf>
    <xf numFmtId="43" fontId="8" fillId="0" borderId="31" xfId="1" applyFont="1" applyFill="1" applyBorder="1" applyAlignment="1">
      <alignment horizontal="center" vertical="center" wrapText="1"/>
    </xf>
    <xf numFmtId="0" fontId="11" fillId="0" borderId="44" xfId="0" applyFont="1" applyFill="1" applyBorder="1" applyAlignment="1">
      <alignment vertical="center"/>
    </xf>
    <xf numFmtId="0" fontId="28" fillId="0" borderId="8" xfId="0" applyFont="1" applyFill="1" applyBorder="1" applyAlignment="1">
      <alignment horizontal="left" vertical="center"/>
    </xf>
    <xf numFmtId="0" fontId="28" fillId="0" borderId="7" xfId="0" applyFont="1" applyFill="1" applyBorder="1" applyAlignment="1">
      <alignment horizontal="left"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vertical="center"/>
    </xf>
    <xf numFmtId="0" fontId="7" fillId="0" borderId="0" xfId="0" applyFont="1" applyFill="1"/>
    <xf numFmtId="0" fontId="7" fillId="0" borderId="42" xfId="0" applyFont="1" applyBorder="1" applyAlignment="1">
      <alignment horizontal="right" vertical="center"/>
    </xf>
    <xf numFmtId="165" fontId="9" fillId="0" borderId="12" xfId="0" applyNumberFormat="1" applyFont="1" applyBorder="1" applyAlignment="1">
      <alignment horizontal="center" vertical="center" wrapText="1"/>
    </xf>
    <xf numFmtId="165" fontId="9" fillId="0" borderId="26" xfId="0" applyNumberFormat="1" applyFont="1" applyBorder="1" applyAlignment="1">
      <alignment horizontal="center" vertical="center" wrapText="1"/>
    </xf>
    <xf numFmtId="165" fontId="9" fillId="0" borderId="31" xfId="0" applyNumberFormat="1" applyFont="1" applyBorder="1" applyAlignment="1">
      <alignment horizontal="center" vertical="center" wrapText="1"/>
    </xf>
    <xf numFmtId="0" fontId="11" fillId="0" borderId="58" xfId="0" applyFont="1" applyBorder="1" applyAlignment="1">
      <alignment horizontal="center" vertical="center"/>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46" xfId="0" applyFont="1" applyBorder="1" applyAlignment="1">
      <alignment horizontal="left" vertical="top" wrapText="1"/>
    </xf>
    <xf numFmtId="0" fontId="17" fillId="0" borderId="35" xfId="0" applyFont="1" applyBorder="1" applyAlignment="1">
      <alignment horizontal="left" vertical="top" wrapText="1"/>
    </xf>
    <xf numFmtId="0" fontId="17" fillId="0" borderId="22" xfId="0" applyFont="1" applyBorder="1" applyAlignment="1">
      <alignment horizontal="left" vertical="top" wrapText="1"/>
    </xf>
    <xf numFmtId="0" fontId="0" fillId="0" borderId="26" xfId="0" applyBorder="1"/>
    <xf numFmtId="165" fontId="17" fillId="0" borderId="12" xfId="0" applyNumberFormat="1" applyFont="1" applyBorder="1" applyAlignment="1">
      <alignment horizontal="center" vertical="center" wrapText="1"/>
    </xf>
    <xf numFmtId="165" fontId="17" fillId="0" borderId="26" xfId="0" applyNumberFormat="1" applyFont="1" applyBorder="1" applyAlignment="1">
      <alignment horizontal="center" vertical="center" wrapText="1"/>
    </xf>
    <xf numFmtId="165" fontId="17" fillId="0" borderId="20" xfId="0" applyNumberFormat="1" applyFont="1" applyBorder="1" applyAlignment="1">
      <alignment horizontal="center" vertical="center" wrapText="1"/>
    </xf>
    <xf numFmtId="0" fontId="10" fillId="0" borderId="5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3" xfId="0" applyFont="1" applyBorder="1" applyAlignment="1">
      <alignment horizontal="center" vertical="center" wrapText="1"/>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10" fillId="2" borderId="42" xfId="0" applyFont="1" applyFill="1" applyBorder="1" applyAlignment="1">
      <alignment horizontal="left" vertical="top"/>
    </xf>
    <xf numFmtId="0" fontId="12" fillId="0" borderId="1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10" fillId="0" borderId="0" xfId="0" applyFont="1" applyAlignment="1">
      <alignment horizontal="center" vertical="center"/>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31" xfId="0" applyFont="1" applyFill="1" applyBorder="1" applyAlignment="1">
      <alignment horizontal="center" vertical="center"/>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1" fillId="0" borderId="19" xfId="0" applyFont="1" applyBorder="1" applyAlignment="1">
      <alignment horizontal="center" vertical="center" wrapText="1"/>
    </xf>
    <xf numFmtId="0" fontId="11" fillId="0" borderId="23" xfId="0" applyFont="1" applyBorder="1" applyAlignment="1">
      <alignment horizontal="center" vertical="center" wrapText="1"/>
    </xf>
    <xf numFmtId="165" fontId="13" fillId="0" borderId="12" xfId="0" applyNumberFormat="1" applyFont="1" applyBorder="1" applyAlignment="1">
      <alignment horizontal="center" vertical="center" wrapText="1"/>
    </xf>
    <xf numFmtId="165" fontId="13" fillId="0" borderId="31" xfId="0" applyNumberFormat="1" applyFont="1" applyBorder="1" applyAlignment="1">
      <alignment horizontal="center" vertical="center" wrapText="1"/>
    </xf>
    <xf numFmtId="0" fontId="11" fillId="0" borderId="32" xfId="0" applyFont="1" applyBorder="1" applyAlignment="1">
      <alignment horizontal="center" vertical="center"/>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31" xfId="0" applyFont="1" applyBorder="1" applyAlignment="1">
      <alignment horizontal="center" vertical="center" wrapText="1"/>
    </xf>
    <xf numFmtId="0" fontId="16"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6" xfId="0" applyFont="1" applyBorder="1" applyAlignment="1">
      <alignment horizontal="center" vertical="center" wrapText="1"/>
    </xf>
    <xf numFmtId="0" fontId="8" fillId="2" borderId="2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8" fillId="0" borderId="0" xfId="0" applyFont="1" applyAlignment="1">
      <alignment horizont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26"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9" xfId="0" applyFont="1" applyBorder="1" applyAlignment="1">
      <alignment horizontal="center" vertical="center"/>
    </xf>
    <xf numFmtId="0" fontId="24" fillId="0" borderId="65" xfId="0" applyFont="1" applyBorder="1" applyAlignment="1">
      <alignment horizontal="center" vertical="center"/>
    </xf>
    <xf numFmtId="0" fontId="3" fillId="3" borderId="15"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24" fillId="0" borderId="70" xfId="0" applyFont="1" applyBorder="1" applyAlignment="1">
      <alignment horizontal="center" vertical="center"/>
    </xf>
    <xf numFmtId="0" fontId="4" fillId="0" borderId="70" xfId="0" applyFont="1" applyBorder="1"/>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4" fillId="0" borderId="76" xfId="0" applyFont="1" applyBorder="1"/>
    <xf numFmtId="0" fontId="7" fillId="0" borderId="37"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72" xfId="0" applyFont="1" applyBorder="1" applyAlignment="1">
      <alignment horizontal="center" vertical="center"/>
    </xf>
    <xf numFmtId="0" fontId="12" fillId="0" borderId="0" xfId="0" applyFont="1" applyAlignment="1">
      <alignment horizontal="center" vertical="center" wrapText="1"/>
    </xf>
    <xf numFmtId="0" fontId="19" fillId="0" borderId="0" xfId="0" applyFont="1" applyAlignment="1">
      <alignment horizontal="left" vertical="center"/>
    </xf>
    <xf numFmtId="0" fontId="11" fillId="3" borderId="60" xfId="0" applyFont="1" applyFill="1" applyBorder="1" applyAlignment="1">
      <alignment horizontal="left" vertical="center"/>
    </xf>
    <xf numFmtId="0" fontId="11" fillId="3" borderId="36" xfId="0" applyFont="1" applyFill="1" applyBorder="1" applyAlignment="1">
      <alignment horizontal="left" vertical="center"/>
    </xf>
    <xf numFmtId="0" fontId="7" fillId="3" borderId="62" xfId="0" applyFont="1" applyFill="1" applyBorder="1" applyAlignment="1">
      <alignment horizontal="left" vertical="center"/>
    </xf>
    <xf numFmtId="0" fontId="7" fillId="3" borderId="36" xfId="0" applyFont="1" applyFill="1" applyBorder="1" applyAlignment="1">
      <alignment horizontal="left"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wrapText="1"/>
    </xf>
    <xf numFmtId="0" fontId="16" fillId="0" borderId="0" xfId="0" applyFont="1" applyAlignment="1">
      <alignment horizontal="center" vertical="center"/>
    </xf>
    <xf numFmtId="0" fontId="11" fillId="0" borderId="8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4" xfId="0" applyFont="1" applyBorder="1" applyAlignment="1">
      <alignment horizontal="center" vertical="center" wrapText="1"/>
    </xf>
    <xf numFmtId="0" fontId="24" fillId="0" borderId="48" xfId="0" applyFont="1" applyBorder="1" applyAlignment="1">
      <alignment horizontal="center" vertical="center"/>
    </xf>
    <xf numFmtId="0" fontId="25" fillId="0" borderId="29" xfId="0" applyFont="1" applyBorder="1" applyAlignment="1">
      <alignment horizontal="center" vertical="center" wrapText="1"/>
    </xf>
    <xf numFmtId="0" fontId="24" fillId="0" borderId="19" xfId="0" applyFont="1" applyBorder="1" applyAlignment="1">
      <alignment horizontal="center" vertical="center"/>
    </xf>
    <xf numFmtId="0" fontId="24" fillId="0" borderId="9" xfId="0" applyFont="1" applyBorder="1" applyAlignment="1">
      <alignment horizontal="center" vertical="center"/>
    </xf>
    <xf numFmtId="0" fontId="25" fillId="0" borderId="20" xfId="0" applyFont="1" applyBorder="1" applyAlignment="1">
      <alignment horizontal="center" vertical="center" wrapText="1"/>
    </xf>
    <xf numFmtId="0" fontId="25" fillId="0" borderId="37" xfId="0" applyFont="1" applyBorder="1" applyAlignment="1">
      <alignment horizontal="center" vertical="center" wrapText="1"/>
    </xf>
    <xf numFmtId="164" fontId="13" fillId="0" borderId="12" xfId="1" applyNumberFormat="1" applyFont="1" applyFill="1" applyBorder="1" applyAlignment="1">
      <alignment horizontal="center" vertical="center" wrapText="1"/>
    </xf>
    <xf numFmtId="164" fontId="13" fillId="0" borderId="26" xfId="1" applyNumberFormat="1" applyFont="1" applyFill="1" applyBorder="1" applyAlignment="1">
      <alignment horizontal="center" vertical="center" wrapText="1"/>
    </xf>
    <xf numFmtId="164" fontId="13" fillId="0" borderId="20" xfId="1" applyNumberFormat="1" applyFont="1" applyFill="1" applyBorder="1" applyAlignment="1">
      <alignment horizontal="center" vertical="center" wrapText="1"/>
    </xf>
    <xf numFmtId="0" fontId="11" fillId="3" borderId="8" xfId="0" applyFont="1" applyFill="1" applyBorder="1" applyAlignment="1">
      <alignment horizontal="left" vertical="center"/>
    </xf>
    <xf numFmtId="0" fontId="11" fillId="3" borderId="7" xfId="0" applyFont="1" applyFill="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3" xfId="0" applyFont="1" applyBorder="1" applyAlignment="1">
      <alignment horizontal="center" vertical="center"/>
    </xf>
    <xf numFmtId="0" fontId="7" fillId="0" borderId="80" xfId="0" applyFont="1" applyBorder="1" applyAlignment="1">
      <alignment horizontal="center" vertical="center"/>
    </xf>
    <xf numFmtId="0" fontId="7" fillId="0" borderId="54" xfId="0" applyFont="1" applyBorder="1" applyAlignment="1">
      <alignment horizontal="center" vertical="center"/>
    </xf>
    <xf numFmtId="0" fontId="28" fillId="3" borderId="32"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11" fillId="3" borderId="0" xfId="0" applyFont="1" applyFill="1" applyAlignment="1">
      <alignment horizontal="left" vertical="center"/>
    </xf>
    <xf numFmtId="0" fontId="24" fillId="0" borderId="8" xfId="0" applyFont="1" applyBorder="1" applyAlignment="1">
      <alignment horizontal="center" vertical="center"/>
    </xf>
    <xf numFmtId="0" fontId="24" fillId="0" borderId="23" xfId="0" applyFont="1" applyBorder="1" applyAlignment="1">
      <alignment horizontal="center" vertical="center"/>
    </xf>
    <xf numFmtId="0" fontId="25" fillId="0" borderId="7" xfId="0" applyFont="1" applyBorder="1" applyAlignment="1">
      <alignment horizontal="center" vertical="center" wrapText="1"/>
    </xf>
    <xf numFmtId="0" fontId="25" fillId="0" borderId="17" xfId="0" applyFont="1" applyBorder="1" applyAlignment="1">
      <alignment horizontal="center" vertical="center" wrapText="1"/>
    </xf>
    <xf numFmtId="0" fontId="24" fillId="0" borderId="47" xfId="0" applyFont="1" applyBorder="1" applyAlignment="1">
      <alignment horizontal="center" vertical="center"/>
    </xf>
    <xf numFmtId="0" fontId="24" fillId="0" borderId="49" xfId="0" applyFont="1" applyBorder="1" applyAlignment="1">
      <alignment horizontal="center" vertical="center"/>
    </xf>
    <xf numFmtId="0" fontId="25" fillId="0" borderId="81" xfId="0" applyFont="1" applyBorder="1" applyAlignment="1">
      <alignment horizontal="center" vertical="center" wrapText="1"/>
    </xf>
    <xf numFmtId="0" fontId="25" fillId="0" borderId="4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3" xfId="0" applyFont="1" applyBorder="1" applyAlignment="1">
      <alignment horizontal="center" vertical="center" wrapTex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8" fillId="0" borderId="0" xfId="0" applyFont="1" applyAlignment="1">
      <alignment horizontal="center" vertical="center" wrapText="1"/>
    </xf>
    <xf numFmtId="164" fontId="13" fillId="4" borderId="12" xfId="1" applyNumberFormat="1" applyFont="1" applyFill="1" applyBorder="1" applyAlignment="1">
      <alignment horizontal="center" vertical="center" wrapText="1"/>
    </xf>
    <xf numFmtId="164" fontId="13" fillId="4" borderId="26" xfId="1" applyNumberFormat="1" applyFont="1" applyFill="1" applyBorder="1" applyAlignment="1">
      <alignment horizontal="center" vertical="center" wrapText="1"/>
    </xf>
    <xf numFmtId="164" fontId="13" fillId="4" borderId="31" xfId="1" applyNumberFormat="1" applyFont="1" applyFill="1" applyBorder="1" applyAlignment="1">
      <alignment horizontal="center" vertical="center" wrapText="1"/>
    </xf>
    <xf numFmtId="0" fontId="8" fillId="3" borderId="55"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16" xfId="0" applyFont="1" applyFill="1" applyBorder="1" applyAlignment="1">
      <alignment horizontal="center" vertical="center"/>
    </xf>
    <xf numFmtId="0" fontId="8" fillId="0" borderId="49" xfId="0" applyFont="1" applyBorder="1" applyAlignment="1">
      <alignment horizontal="center" vertical="center" wrapText="1"/>
    </xf>
    <xf numFmtId="0" fontId="3" fillId="3" borderId="8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11" fillId="0" borderId="0" xfId="0" applyFont="1" applyAlignment="1">
      <alignment horizontal="center" vertical="center" wrapText="1"/>
    </xf>
    <xf numFmtId="0" fontId="25" fillId="0" borderId="59"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11" fillId="3" borderId="80" xfId="0" applyFont="1" applyFill="1" applyBorder="1" applyAlignment="1">
      <alignment horizontal="left" vertical="center"/>
    </xf>
    <xf numFmtId="0" fontId="11" fillId="3" borderId="82" xfId="0" applyFont="1" applyFill="1" applyBorder="1" applyAlignment="1">
      <alignment horizontal="left" vertical="center"/>
    </xf>
    <xf numFmtId="0" fontId="4" fillId="0" borderId="49" xfId="0" applyFont="1" applyBorder="1"/>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1" fillId="0" borderId="79" xfId="0" applyFont="1" applyBorder="1"/>
    <xf numFmtId="0" fontId="8" fillId="0" borderId="42" xfId="0" applyFont="1" applyBorder="1" applyAlignment="1">
      <alignment horizontal="left" vertical="center"/>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4" fillId="0" borderId="79" xfId="0" applyFont="1" applyBorder="1"/>
    <xf numFmtId="0" fontId="8" fillId="0" borderId="0" xfId="0" applyFont="1" applyAlignment="1">
      <alignment horizontal="left" vertical="center"/>
    </xf>
    <xf numFmtId="0" fontId="32" fillId="0" borderId="0" xfId="0" applyFont="1" applyAlignment="1">
      <alignment horizontal="center"/>
    </xf>
    <xf numFmtId="0" fontId="11" fillId="0" borderId="85" xfId="0" applyFont="1" applyBorder="1" applyAlignment="1">
      <alignment horizontal="left" vertical="center"/>
    </xf>
    <xf numFmtId="0" fontId="11" fillId="0" borderId="5" xfId="0" applyFont="1" applyBorder="1" applyAlignment="1">
      <alignment horizontal="left" vertical="center"/>
    </xf>
    <xf numFmtId="0" fontId="24" fillId="0" borderId="86" xfId="0" applyFont="1" applyBorder="1" applyAlignment="1">
      <alignment horizontal="center" vertical="center"/>
    </xf>
    <xf numFmtId="0" fontId="24" fillId="0" borderId="58" xfId="0" applyFont="1" applyBorder="1" applyAlignment="1">
      <alignment horizontal="center" vertical="center"/>
    </xf>
    <xf numFmtId="0" fontId="24" fillId="0" borderId="88" xfId="0" applyFont="1" applyBorder="1" applyAlignment="1">
      <alignment horizontal="center" vertical="center"/>
    </xf>
    <xf numFmtId="0" fontId="24" fillId="0" borderId="87" xfId="0" applyFont="1" applyBorder="1" applyAlignment="1">
      <alignment horizontal="center" vertical="center"/>
    </xf>
    <xf numFmtId="0" fontId="25" fillId="0" borderId="58"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7" xfId="0" applyFont="1" applyBorder="1" applyAlignment="1">
      <alignment horizontal="center" vertical="center" wrapText="1"/>
    </xf>
    <xf numFmtId="0" fontId="8" fillId="0" borderId="42" xfId="0" applyFont="1" applyBorder="1" applyAlignment="1">
      <alignment horizontal="right" vertical="center"/>
    </xf>
    <xf numFmtId="0" fontId="25" fillId="0" borderId="86" xfId="0" applyFont="1" applyBorder="1" applyAlignment="1">
      <alignment horizontal="center" vertical="center" wrapText="1"/>
    </xf>
    <xf numFmtId="0" fontId="25" fillId="0" borderId="47"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4" fillId="0" borderId="47"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9" xfId="0" applyFont="1" applyFill="1" applyBorder="1" applyAlignment="1">
      <alignment horizontal="center" vertical="center"/>
    </xf>
    <xf numFmtId="0" fontId="8" fillId="0" borderId="0" xfId="0" applyFont="1" applyAlignment="1">
      <alignment horizontal="left" wrapText="1"/>
    </xf>
    <xf numFmtId="0" fontId="8" fillId="0" borderId="14" xfId="0" applyFont="1" applyBorder="1" applyAlignment="1">
      <alignment horizontal="center" vertical="center"/>
    </xf>
    <xf numFmtId="0" fontId="11" fillId="0" borderId="0" xfId="0" applyFont="1" applyAlignment="1">
      <alignment horizontal="left" vertical="center"/>
    </xf>
    <xf numFmtId="0" fontId="11" fillId="0" borderId="10" xfId="0" applyFont="1" applyBorder="1" applyAlignment="1">
      <alignment vertical="center"/>
    </xf>
    <xf numFmtId="0" fontId="11" fillId="0" borderId="34" xfId="0" applyFont="1" applyBorder="1" applyAlignment="1">
      <alignment vertical="center"/>
    </xf>
    <xf numFmtId="0" fontId="11" fillId="0" borderId="19" xfId="0" applyFont="1" applyBorder="1" applyAlignment="1">
      <alignment vertical="center"/>
    </xf>
    <xf numFmtId="164" fontId="9" fillId="0" borderId="37" xfId="1" applyNumberFormat="1" applyFont="1" applyFill="1" applyBorder="1" applyAlignment="1">
      <alignment horizontal="center" vertical="center" wrapText="1"/>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4" fillId="0" borderId="14" xfId="0" applyNumberFormat="1" applyFont="1" applyBorder="1" applyAlignment="1">
      <alignment horizontal="center" vertical="center" wrapText="1"/>
    </xf>
    <xf numFmtId="0" fontId="32" fillId="0" borderId="0" xfId="0" applyFont="1" applyAlignment="1">
      <alignment horizontal="center" vertical="center" wrapText="1"/>
    </xf>
    <xf numFmtId="43" fontId="33" fillId="0" borderId="37" xfId="1" applyFont="1" applyFill="1" applyBorder="1" applyAlignment="1">
      <alignment horizontal="center" vertical="center" wrapText="1"/>
    </xf>
    <xf numFmtId="43" fontId="33" fillId="0" borderId="26" xfId="1" applyFont="1" applyFill="1" applyBorder="1" applyAlignment="1">
      <alignment horizontal="center" vertical="center" wrapText="1"/>
    </xf>
    <xf numFmtId="43" fontId="33" fillId="0" borderId="20" xfId="1" applyFont="1" applyFill="1" applyBorder="1" applyAlignment="1">
      <alignment horizontal="center" vertical="center" wrapText="1"/>
    </xf>
    <xf numFmtId="0" fontId="8" fillId="0" borderId="42"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19" fillId="0" borderId="63" xfId="0" applyFont="1" applyBorder="1" applyAlignment="1">
      <alignment horizontal="left" vertical="center"/>
    </xf>
    <xf numFmtId="0" fontId="6" fillId="0" borderId="37"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34" fillId="0" borderId="0" xfId="0" applyFont="1" applyBorder="1" applyAlignment="1">
      <alignment horizontal="center"/>
    </xf>
    <xf numFmtId="0" fontId="34" fillId="0" borderId="63" xfId="0" applyFont="1" applyBorder="1" applyAlignment="1">
      <alignment horizontal="right"/>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28" fillId="0" borderId="1" xfId="0" applyFont="1" applyFill="1" applyBorder="1" applyAlignment="1">
      <alignment horizontal="left" vertical="center"/>
    </xf>
    <xf numFmtId="0" fontId="12" fillId="0" borderId="90" xfId="0" applyFont="1" applyFill="1" applyBorder="1" applyAlignment="1" applyProtection="1">
      <alignment vertical="center"/>
    </xf>
    <xf numFmtId="0" fontId="11" fillId="0" borderId="0" xfId="0" applyFont="1" applyFill="1" applyBorder="1" applyAlignment="1">
      <alignment vertical="center"/>
    </xf>
    <xf numFmtId="0" fontId="12" fillId="0" borderId="30" xfId="0" applyFont="1" applyFill="1" applyBorder="1" applyAlignment="1">
      <alignment horizontal="left" vertical="center"/>
    </xf>
    <xf numFmtId="0" fontId="7" fillId="0" borderId="86" xfId="0" applyFont="1" applyFill="1" applyBorder="1" applyAlignment="1">
      <alignment horizontal="center" vertical="center"/>
    </xf>
    <xf numFmtId="0" fontId="8" fillId="0" borderId="86" xfId="0" applyFont="1" applyFill="1" applyBorder="1" applyAlignment="1">
      <alignment horizontal="center" vertical="center" wrapText="1"/>
    </xf>
    <xf numFmtId="0" fontId="7" fillId="0" borderId="50" xfId="0" applyFont="1" applyFill="1" applyBorder="1" applyAlignment="1">
      <alignment horizontal="center" vertical="center"/>
    </xf>
    <xf numFmtId="0" fontId="8" fillId="0" borderId="50" xfId="0" applyFont="1" applyFill="1" applyBorder="1" applyAlignment="1">
      <alignment horizontal="center" vertical="center" wrapText="1"/>
    </xf>
    <xf numFmtId="0" fontId="7" fillId="0" borderId="58" xfId="0" applyFont="1" applyFill="1" applyBorder="1" applyAlignment="1">
      <alignment horizontal="center" vertical="center"/>
    </xf>
    <xf numFmtId="0" fontId="8" fillId="0" borderId="58" xfId="0" applyFont="1" applyFill="1" applyBorder="1" applyAlignment="1">
      <alignment horizontal="center" vertical="center" wrapText="1"/>
    </xf>
    <xf numFmtId="0" fontId="7" fillId="0" borderId="88" xfId="0" applyFont="1" applyFill="1" applyBorder="1" applyAlignment="1">
      <alignment horizontal="center" vertical="center"/>
    </xf>
    <xf numFmtId="0" fontId="8" fillId="0" borderId="88" xfId="0" applyFont="1" applyFill="1" applyBorder="1" applyAlignment="1">
      <alignment horizontal="center" vertical="center" wrapText="1"/>
    </xf>
    <xf numFmtId="0" fontId="28" fillId="0" borderId="34" xfId="0" applyFont="1" applyFill="1" applyBorder="1" applyAlignment="1">
      <alignment horizontal="left" vertical="center"/>
    </xf>
    <xf numFmtId="0" fontId="7" fillId="0" borderId="87" xfId="0" applyFont="1" applyFill="1" applyBorder="1" applyAlignment="1">
      <alignment horizontal="center" vertical="center"/>
    </xf>
    <xf numFmtId="0" fontId="8" fillId="0" borderId="87" xfId="0" applyFont="1" applyFill="1" applyBorder="1" applyAlignment="1">
      <alignment horizontal="center" vertical="center" wrapText="1"/>
    </xf>
    <xf numFmtId="0" fontId="12" fillId="0" borderId="3" xfId="0" applyFont="1" applyFill="1" applyBorder="1" applyAlignment="1">
      <alignment horizontal="left" vertical="center"/>
    </xf>
    <xf numFmtId="0" fontId="7" fillId="0" borderId="47" xfId="0" applyFont="1" applyFill="1" applyBorder="1" applyAlignment="1">
      <alignment horizontal="center" vertical="center"/>
    </xf>
    <xf numFmtId="0" fontId="8" fillId="0" borderId="47" xfId="0" applyFont="1" applyFill="1" applyBorder="1" applyAlignment="1">
      <alignment horizontal="center" vertical="center" wrapText="1"/>
    </xf>
    <xf numFmtId="0" fontId="7" fillId="0" borderId="48" xfId="0" applyFont="1" applyFill="1" applyBorder="1" applyAlignment="1">
      <alignment horizontal="center" vertical="center"/>
    </xf>
    <xf numFmtId="0" fontId="8" fillId="0" borderId="48" xfId="0" applyFont="1" applyFill="1" applyBorder="1" applyAlignment="1">
      <alignment horizontal="center" vertical="center" wrapText="1"/>
    </xf>
    <xf numFmtId="0" fontId="28" fillId="0" borderId="29" xfId="0" applyFont="1" applyFill="1" applyBorder="1" applyAlignment="1">
      <alignment horizontal="left" vertical="center"/>
    </xf>
    <xf numFmtId="0" fontId="8" fillId="0" borderId="32" xfId="0" applyFont="1" applyFill="1" applyBorder="1" applyAlignment="1">
      <alignment horizontal="center" vertical="center" wrapText="1"/>
    </xf>
    <xf numFmtId="0" fontId="7" fillId="0" borderId="49" xfId="0" applyFont="1" applyFill="1" applyBorder="1" applyAlignment="1">
      <alignment horizontal="center" vertical="center"/>
    </xf>
    <xf numFmtId="0" fontId="8" fillId="0" borderId="49" xfId="0" applyFont="1" applyFill="1" applyBorder="1" applyAlignment="1">
      <alignment horizontal="center" vertical="center" wrapText="1"/>
    </xf>
    <xf numFmtId="0" fontId="24" fillId="0" borderId="86" xfId="0" applyFont="1" applyFill="1" applyBorder="1" applyAlignment="1">
      <alignment horizontal="center" vertical="center"/>
    </xf>
    <xf numFmtId="0" fontId="25" fillId="0" borderId="50" xfId="0" applyFont="1" applyFill="1" applyBorder="1" applyAlignment="1">
      <alignment horizontal="center" vertical="center" wrapText="1"/>
    </xf>
    <xf numFmtId="0" fontId="24" fillId="0" borderId="58" xfId="0" applyFont="1" applyFill="1" applyBorder="1" applyAlignment="1">
      <alignment horizontal="center" vertical="center"/>
    </xf>
    <xf numFmtId="0" fontId="25" fillId="0" borderId="58" xfId="0" applyFont="1" applyFill="1" applyBorder="1" applyAlignment="1">
      <alignment horizontal="center" vertical="center" wrapText="1"/>
    </xf>
    <xf numFmtId="0" fontId="24" fillId="0" borderId="88" xfId="0" applyFont="1" applyFill="1" applyBorder="1" applyAlignment="1">
      <alignment horizontal="center" vertical="center"/>
    </xf>
    <xf numFmtId="0" fontId="25" fillId="0" borderId="88" xfId="0" applyFont="1" applyFill="1" applyBorder="1" applyAlignment="1">
      <alignment horizontal="center" vertical="center" wrapText="1"/>
    </xf>
    <xf numFmtId="0" fontId="24" fillId="0" borderId="87" xfId="0" applyFont="1" applyFill="1" applyBorder="1" applyAlignment="1">
      <alignment horizontal="center" vertical="center"/>
    </xf>
    <xf numFmtId="0" fontId="25" fillId="0" borderId="87" xfId="0" applyFont="1" applyFill="1" applyBorder="1" applyAlignment="1">
      <alignment horizontal="center" vertical="center" wrapText="1"/>
    </xf>
    <xf numFmtId="0" fontId="12" fillId="0" borderId="44" xfId="0" applyFont="1" applyFill="1" applyBorder="1" applyAlignment="1">
      <alignment horizontal="left" vertical="center"/>
    </xf>
    <xf numFmtId="0" fontId="28" fillId="0" borderId="36" xfId="0" applyFont="1" applyFill="1" applyBorder="1" applyAlignment="1">
      <alignment horizontal="left" vertical="center"/>
    </xf>
    <xf numFmtId="0" fontId="25" fillId="0" borderId="86" xfId="0" applyFont="1" applyFill="1" applyBorder="1" applyAlignment="1">
      <alignment horizontal="center" vertical="center" wrapText="1"/>
    </xf>
  </cellXfs>
  <cellStyles count="4">
    <cellStyle name="Comma" xfId="1" builtinId="3"/>
    <cellStyle name="Normal" xfId="0" builtinId="0"/>
    <cellStyle name="Normal 2" xfId="2"/>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S231"/>
  <sheetViews>
    <sheetView zoomScale="60" zoomScaleNormal="60" zoomScaleSheetLayoutView="85" workbookViewId="0">
      <pane xSplit="3" ySplit="8" topLeftCell="G21" activePane="bottomRight" state="frozen"/>
      <selection activeCell="B4" sqref="B4:S5"/>
      <selection pane="topRight" activeCell="B4" sqref="B4:S5"/>
      <selection pane="bottomLeft" activeCell="B4" sqref="B4:S5"/>
      <selection pane="bottomRight" activeCell="S22" sqref="S22:S25"/>
    </sheetView>
  </sheetViews>
  <sheetFormatPr defaultColWidth="9.140625" defaultRowHeight="15"/>
  <cols>
    <col min="1" max="1" width="5.42578125" style="1" customWidth="1"/>
    <col min="2" max="2" width="24.140625" style="1" customWidth="1"/>
    <col min="3" max="3" width="24" style="1" customWidth="1"/>
    <col min="4" max="4" width="21.140625" style="1" customWidth="1"/>
    <col min="5" max="5" width="15.42578125" style="1" customWidth="1"/>
    <col min="6" max="6" width="21.85546875" style="1" customWidth="1"/>
    <col min="7" max="7" width="39.140625" style="1" customWidth="1"/>
    <col min="8" max="8" width="19.42578125" style="1" customWidth="1"/>
    <col min="9" max="9" width="17.85546875" style="1" hidden="1" customWidth="1"/>
    <col min="10" max="10" width="15.140625" style="1" customWidth="1"/>
    <col min="11" max="11" width="16.28515625" style="1" customWidth="1"/>
    <col min="12" max="12" width="23.5703125" style="1" customWidth="1"/>
    <col min="13" max="13" width="18.85546875" style="1" customWidth="1"/>
    <col min="14" max="14" width="15.28515625" style="1" hidden="1" customWidth="1"/>
    <col min="15" max="15" width="16" style="1" customWidth="1"/>
    <col min="16" max="16" width="15" style="1" customWidth="1"/>
    <col min="17" max="17" width="18.140625" style="1" customWidth="1"/>
    <col min="18" max="18" width="18.42578125" style="1" customWidth="1"/>
    <col min="19" max="19" width="43.5703125" style="1" customWidth="1"/>
    <col min="20" max="16384" width="9.140625" style="1"/>
  </cols>
  <sheetData>
    <row r="1" spans="1:19" ht="21" customHeight="1">
      <c r="S1" s="30" t="s">
        <v>89</v>
      </c>
    </row>
    <row r="2" spans="1:19" ht="18.75" customHeight="1">
      <c r="A2" s="675" t="s">
        <v>10</v>
      </c>
      <c r="B2" s="675"/>
      <c r="C2" s="675"/>
      <c r="D2" s="675"/>
      <c r="E2" s="675"/>
      <c r="F2" s="675"/>
      <c r="G2" s="675"/>
      <c r="H2" s="675"/>
      <c r="I2" s="675"/>
      <c r="J2" s="675"/>
      <c r="K2" s="675"/>
      <c r="L2" s="675"/>
      <c r="M2" s="675"/>
      <c r="N2" s="675"/>
      <c r="O2" s="675"/>
      <c r="P2" s="675"/>
      <c r="Q2" s="675"/>
      <c r="R2" s="675"/>
      <c r="S2" s="675"/>
    </row>
    <row r="3" spans="1:19" ht="23.25" customHeight="1">
      <c r="B3" s="717" t="s">
        <v>9</v>
      </c>
      <c r="C3" s="717"/>
      <c r="D3" s="717"/>
      <c r="E3" s="717"/>
      <c r="F3" s="717"/>
      <c r="G3" s="717"/>
      <c r="H3" s="717"/>
      <c r="I3" s="717"/>
      <c r="J3" s="717"/>
      <c r="K3" s="717"/>
      <c r="L3" s="717"/>
      <c r="M3" s="717"/>
      <c r="N3" s="717"/>
      <c r="O3" s="717"/>
      <c r="P3" s="717"/>
      <c r="Q3" s="2"/>
      <c r="R3" s="2"/>
      <c r="S3" s="5" t="s">
        <v>129</v>
      </c>
    </row>
    <row r="4" spans="1:19" ht="24.75" customHeight="1">
      <c r="B4" s="694" t="s">
        <v>109</v>
      </c>
      <c r="C4" s="694"/>
      <c r="D4" s="694"/>
      <c r="E4" s="694"/>
      <c r="F4" s="694"/>
      <c r="G4" s="694"/>
      <c r="H4" s="694"/>
      <c r="I4" s="694"/>
      <c r="J4" s="694"/>
      <c r="K4" s="694"/>
      <c r="L4" s="694"/>
      <c r="M4" s="694"/>
      <c r="N4" s="694"/>
      <c r="O4" s="694"/>
      <c r="P4" s="694"/>
      <c r="Q4" s="694"/>
      <c r="R4" s="694"/>
      <c r="S4" s="694"/>
    </row>
    <row r="5" spans="1:19" ht="24.75" customHeight="1" thickBot="1">
      <c r="A5" s="671" t="s">
        <v>85</v>
      </c>
      <c r="B5" s="671"/>
      <c r="C5" s="6"/>
      <c r="D5" s="6"/>
      <c r="E5" s="6"/>
      <c r="F5" s="6"/>
      <c r="G5" s="6"/>
      <c r="H5" s="6"/>
      <c r="I5" s="6"/>
      <c r="J5" s="6"/>
      <c r="K5" s="6"/>
      <c r="L5" s="6"/>
      <c r="M5" s="6"/>
      <c r="N5" s="6"/>
      <c r="O5" s="6"/>
      <c r="P5" s="6"/>
      <c r="Q5" s="6"/>
      <c r="R5" s="6"/>
      <c r="S5" s="6"/>
    </row>
    <row r="6" spans="1:19" ht="42.75" customHeight="1">
      <c r="A6" s="718" t="s">
        <v>41</v>
      </c>
      <c r="B6" s="721" t="s">
        <v>1</v>
      </c>
      <c r="C6" s="700" t="s">
        <v>0</v>
      </c>
      <c r="D6" s="672" t="s">
        <v>26</v>
      </c>
      <c r="E6" s="672" t="s">
        <v>19</v>
      </c>
      <c r="F6" s="672" t="s">
        <v>20</v>
      </c>
      <c r="G6" s="714" t="s">
        <v>88</v>
      </c>
      <c r="H6" s="695" t="s">
        <v>8</v>
      </c>
      <c r="I6" s="695" t="s">
        <v>7</v>
      </c>
      <c r="J6" s="711" t="s">
        <v>39</v>
      </c>
      <c r="K6" s="724" t="s">
        <v>40</v>
      </c>
      <c r="L6" s="698" t="s">
        <v>108</v>
      </c>
      <c r="M6" s="699"/>
      <c r="N6" s="691" t="s">
        <v>11</v>
      </c>
      <c r="O6" s="711" t="s">
        <v>12</v>
      </c>
      <c r="P6" s="705" t="s">
        <v>25</v>
      </c>
      <c r="Q6" s="688" t="s">
        <v>130</v>
      </c>
      <c r="R6" s="695" t="s">
        <v>42</v>
      </c>
      <c r="S6" s="708" t="s">
        <v>2</v>
      </c>
    </row>
    <row r="7" spans="1:19" ht="24.75" customHeight="1">
      <c r="A7" s="719"/>
      <c r="B7" s="722"/>
      <c r="C7" s="701"/>
      <c r="D7" s="673"/>
      <c r="E7" s="673"/>
      <c r="F7" s="673"/>
      <c r="G7" s="715"/>
      <c r="H7" s="696"/>
      <c r="I7" s="696"/>
      <c r="J7" s="712"/>
      <c r="K7" s="696"/>
      <c r="L7" s="703" t="s">
        <v>34</v>
      </c>
      <c r="M7" s="703" t="s">
        <v>32</v>
      </c>
      <c r="N7" s="692"/>
      <c r="O7" s="712"/>
      <c r="P7" s="706"/>
      <c r="Q7" s="689"/>
      <c r="R7" s="696"/>
      <c r="S7" s="709"/>
    </row>
    <row r="8" spans="1:19" ht="45.75" customHeight="1" thickBot="1">
      <c r="A8" s="720"/>
      <c r="B8" s="723"/>
      <c r="C8" s="702"/>
      <c r="D8" s="674"/>
      <c r="E8" s="674"/>
      <c r="F8" s="674"/>
      <c r="G8" s="716"/>
      <c r="H8" s="697"/>
      <c r="I8" s="697"/>
      <c r="J8" s="713"/>
      <c r="K8" s="697"/>
      <c r="L8" s="704"/>
      <c r="M8" s="704"/>
      <c r="N8" s="693"/>
      <c r="O8" s="713"/>
      <c r="P8" s="707"/>
      <c r="Q8" s="690"/>
      <c r="R8" s="697"/>
      <c r="S8" s="710"/>
    </row>
    <row r="9" spans="1:19" ht="33.200000000000003" customHeight="1">
      <c r="A9" s="652">
        <v>1</v>
      </c>
      <c r="B9" s="653" t="s">
        <v>33</v>
      </c>
      <c r="C9" s="4" t="s">
        <v>3</v>
      </c>
      <c r="D9" s="33">
        <v>3438</v>
      </c>
      <c r="E9" s="34">
        <v>8558</v>
      </c>
      <c r="F9" s="35">
        <f>+D9*E9/1000000</f>
        <v>29.422404</v>
      </c>
      <c r="G9" s="660" t="s">
        <v>21</v>
      </c>
      <c r="H9" s="36"/>
      <c r="I9" s="37"/>
      <c r="J9" s="38">
        <v>0</v>
      </c>
      <c r="K9" s="38">
        <v>0</v>
      </c>
      <c r="L9" s="35">
        <v>0</v>
      </c>
      <c r="M9" s="39">
        <f>L9*E9/1000000</f>
        <v>0</v>
      </c>
      <c r="N9" s="35">
        <f t="shared" ref="N9:N18" si="0">L9/D9*100</f>
        <v>0</v>
      </c>
      <c r="O9" s="40">
        <v>0</v>
      </c>
      <c r="P9" s="40">
        <v>0</v>
      </c>
      <c r="Q9" s="41">
        <v>0</v>
      </c>
      <c r="R9" s="42">
        <v>0</v>
      </c>
      <c r="S9" s="81"/>
    </row>
    <row r="10" spans="1:19" ht="33.200000000000003" customHeight="1">
      <c r="A10" s="652"/>
      <c r="B10" s="654"/>
      <c r="C10" s="43" t="s">
        <v>4</v>
      </c>
      <c r="D10" s="44">
        <v>7425</v>
      </c>
      <c r="E10" s="45">
        <v>6950</v>
      </c>
      <c r="F10" s="46">
        <f>+D10*E10/1000000</f>
        <v>51.603749999999998</v>
      </c>
      <c r="G10" s="662"/>
      <c r="H10" s="47"/>
      <c r="I10" s="48"/>
      <c r="J10" s="49">
        <v>0</v>
      </c>
      <c r="K10" s="49">
        <v>0</v>
      </c>
      <c r="L10" s="46">
        <v>0</v>
      </c>
      <c r="M10" s="50">
        <f>L10*E10/1000000</f>
        <v>0</v>
      </c>
      <c r="N10" s="65">
        <f t="shared" si="0"/>
        <v>0</v>
      </c>
      <c r="O10" s="66">
        <v>0</v>
      </c>
      <c r="P10" s="66">
        <v>0</v>
      </c>
      <c r="Q10" s="51">
        <v>0</v>
      </c>
      <c r="R10" s="51">
        <v>0</v>
      </c>
      <c r="S10" s="201"/>
    </row>
    <row r="11" spans="1:19" ht="33.200000000000003" customHeight="1" thickBot="1">
      <c r="A11" s="652"/>
      <c r="B11" s="655"/>
      <c r="C11" s="52" t="s">
        <v>5</v>
      </c>
      <c r="D11" s="53">
        <f>SUM(D9:D10)</f>
        <v>10863</v>
      </c>
      <c r="E11" s="54"/>
      <c r="F11" s="55">
        <f>SUM(F9:F10)</f>
        <v>81.026153999999991</v>
      </c>
      <c r="G11" s="56"/>
      <c r="H11" s="57"/>
      <c r="I11" s="56"/>
      <c r="J11" s="56">
        <f t="shared" ref="J11:Q11" si="1">SUM(J9:J10)</f>
        <v>0</v>
      </c>
      <c r="K11" s="56">
        <f t="shared" si="1"/>
        <v>0</v>
      </c>
      <c r="L11" s="55">
        <f t="shared" si="1"/>
        <v>0</v>
      </c>
      <c r="M11" s="55">
        <f t="shared" si="1"/>
        <v>0</v>
      </c>
      <c r="N11" s="55">
        <f t="shared" si="0"/>
        <v>0</v>
      </c>
      <c r="O11" s="56">
        <f t="shared" si="1"/>
        <v>0</v>
      </c>
      <c r="P11" s="56">
        <f t="shared" si="1"/>
        <v>0</v>
      </c>
      <c r="Q11" s="55">
        <f t="shared" si="1"/>
        <v>0</v>
      </c>
      <c r="R11" s="55">
        <v>0</v>
      </c>
      <c r="S11" s="58"/>
    </row>
    <row r="12" spans="1:19" ht="33.200000000000003" customHeight="1">
      <c r="A12" s="652">
        <v>2</v>
      </c>
      <c r="B12" s="653" t="s">
        <v>90</v>
      </c>
      <c r="C12" s="4" t="s">
        <v>3</v>
      </c>
      <c r="D12" s="33">
        <v>9000</v>
      </c>
      <c r="E12" s="34">
        <v>8558</v>
      </c>
      <c r="F12" s="35">
        <f>+D12*E12/1000000</f>
        <v>77.022000000000006</v>
      </c>
      <c r="G12" s="203" t="s">
        <v>114</v>
      </c>
      <c r="H12" s="36"/>
      <c r="I12" s="37"/>
      <c r="J12" s="38">
        <v>0</v>
      </c>
      <c r="K12" s="38">
        <v>0</v>
      </c>
      <c r="L12" s="35">
        <v>0</v>
      </c>
      <c r="M12" s="39">
        <f>L12*E12/1000000</f>
        <v>0</v>
      </c>
      <c r="N12" s="35">
        <f t="shared" si="0"/>
        <v>0</v>
      </c>
      <c r="O12" s="40">
        <v>0</v>
      </c>
      <c r="P12" s="40">
        <v>0</v>
      </c>
      <c r="Q12" s="41">
        <v>0</v>
      </c>
      <c r="R12" s="42">
        <v>0</v>
      </c>
      <c r="S12" s="81"/>
    </row>
    <row r="13" spans="1:19" ht="33.200000000000003" customHeight="1">
      <c r="A13" s="652"/>
      <c r="B13" s="654"/>
      <c r="C13" s="43" t="s">
        <v>4</v>
      </c>
      <c r="D13" s="44">
        <v>53000</v>
      </c>
      <c r="E13" s="45">
        <v>6950</v>
      </c>
      <c r="F13" s="46">
        <f>+D13*E13/1000000</f>
        <v>368.35</v>
      </c>
      <c r="G13" s="204" t="s">
        <v>114</v>
      </c>
      <c r="H13" s="47"/>
      <c r="I13" s="48"/>
      <c r="J13" s="49">
        <v>0</v>
      </c>
      <c r="K13" s="49">
        <v>0</v>
      </c>
      <c r="L13" s="46">
        <v>0</v>
      </c>
      <c r="M13" s="50">
        <f>L13*E13/1000000</f>
        <v>0</v>
      </c>
      <c r="N13" s="65">
        <f t="shared" si="0"/>
        <v>0</v>
      </c>
      <c r="O13" s="66">
        <v>0</v>
      </c>
      <c r="P13" s="66">
        <v>0</v>
      </c>
      <c r="Q13" s="51">
        <v>0</v>
      </c>
      <c r="R13" s="50">
        <v>0</v>
      </c>
      <c r="S13" s="201"/>
    </row>
    <row r="14" spans="1:19" ht="33.200000000000003" customHeight="1">
      <c r="A14" s="652"/>
      <c r="B14" s="654"/>
      <c r="C14" s="164" t="s">
        <v>105</v>
      </c>
      <c r="D14" s="165">
        <v>998000</v>
      </c>
      <c r="E14" s="45">
        <v>6377</v>
      </c>
      <c r="F14" s="46">
        <f>+D14*E14/1000000</f>
        <v>6364.2460000000001</v>
      </c>
      <c r="G14" s="204" t="s">
        <v>114</v>
      </c>
      <c r="H14" s="167"/>
      <c r="I14" s="168"/>
      <c r="J14" s="49">
        <v>0</v>
      </c>
      <c r="K14" s="49">
        <v>0</v>
      </c>
      <c r="L14" s="46">
        <v>0</v>
      </c>
      <c r="M14" s="50">
        <f>L14*E14/1000000</f>
        <v>0</v>
      </c>
      <c r="N14" s="65">
        <f>L14/D14*100</f>
        <v>0</v>
      </c>
      <c r="O14" s="66">
        <v>0</v>
      </c>
      <c r="P14" s="66">
        <v>0</v>
      </c>
      <c r="Q14" s="51">
        <v>0</v>
      </c>
      <c r="R14" s="50">
        <v>0</v>
      </c>
      <c r="S14" s="202"/>
    </row>
    <row r="15" spans="1:19" ht="33.200000000000003" customHeight="1">
      <c r="A15" s="652"/>
      <c r="B15" s="654"/>
      <c r="C15" s="164" t="s">
        <v>15</v>
      </c>
      <c r="D15" s="165">
        <v>91343</v>
      </c>
      <c r="E15" s="166">
        <v>4600</v>
      </c>
      <c r="F15" s="46">
        <f>+D15*E15/1000000</f>
        <v>420.17779999999999</v>
      </c>
      <c r="G15" s="198" t="s">
        <v>114</v>
      </c>
      <c r="H15" s="167"/>
      <c r="I15" s="168"/>
      <c r="J15" s="49">
        <v>0</v>
      </c>
      <c r="K15" s="49">
        <v>0</v>
      </c>
      <c r="L15" s="46">
        <v>0</v>
      </c>
      <c r="M15" s="50">
        <f>L15*E15/1000000</f>
        <v>0</v>
      </c>
      <c r="N15" s="65">
        <f>L15/D15*100</f>
        <v>0</v>
      </c>
      <c r="O15" s="66">
        <v>0</v>
      </c>
      <c r="P15" s="66">
        <v>0</v>
      </c>
      <c r="Q15" s="51">
        <v>0</v>
      </c>
      <c r="R15" s="50">
        <v>0</v>
      </c>
      <c r="S15" s="202"/>
    </row>
    <row r="16" spans="1:19" ht="33.200000000000003" customHeight="1" thickBot="1">
      <c r="A16" s="652"/>
      <c r="B16" s="655"/>
      <c r="C16" s="52" t="s">
        <v>5</v>
      </c>
      <c r="D16" s="53">
        <f>SUM(D12:D15)</f>
        <v>1151343</v>
      </c>
      <c r="E16" s="54"/>
      <c r="F16" s="55">
        <f>SUM(F12:F15)</f>
        <v>7229.7958000000008</v>
      </c>
      <c r="G16" s="56"/>
      <c r="H16" s="57"/>
      <c r="I16" s="56"/>
      <c r="J16" s="56">
        <f>SUM(J12:J15)</f>
        <v>0</v>
      </c>
      <c r="K16" s="56">
        <f t="shared" ref="K16:Q16" si="2">SUM(K12:K15)</f>
        <v>0</v>
      </c>
      <c r="L16" s="55">
        <f t="shared" si="2"/>
        <v>0</v>
      </c>
      <c r="M16" s="55">
        <f t="shared" si="2"/>
        <v>0</v>
      </c>
      <c r="N16" s="55">
        <f t="shared" si="2"/>
        <v>0</v>
      </c>
      <c r="O16" s="55">
        <f t="shared" si="2"/>
        <v>0</v>
      </c>
      <c r="P16" s="55">
        <f t="shared" si="2"/>
        <v>0</v>
      </c>
      <c r="Q16" s="55">
        <f t="shared" si="2"/>
        <v>0</v>
      </c>
      <c r="R16" s="55">
        <v>0</v>
      </c>
      <c r="S16" s="200"/>
    </row>
    <row r="17" spans="1:19" ht="33.200000000000003" customHeight="1">
      <c r="A17" s="652">
        <v>3</v>
      </c>
      <c r="B17" s="663" t="s">
        <v>86</v>
      </c>
      <c r="C17" s="108" t="s">
        <v>87</v>
      </c>
      <c r="D17" s="33">
        <v>26250</v>
      </c>
      <c r="E17" s="34">
        <v>6760</v>
      </c>
      <c r="F17" s="35">
        <f>+D17*E17/1000000</f>
        <v>177.45</v>
      </c>
      <c r="G17" s="196" t="s">
        <v>115</v>
      </c>
      <c r="H17" s="36">
        <v>45214</v>
      </c>
      <c r="I17" s="37"/>
      <c r="J17" s="38">
        <v>22</v>
      </c>
      <c r="K17" s="38">
        <v>1</v>
      </c>
      <c r="L17" s="109">
        <v>190.73500000000001</v>
      </c>
      <c r="M17" s="42">
        <f>L17*E17/1000000</f>
        <v>1.2893686000000002</v>
      </c>
      <c r="N17" s="35">
        <f t="shared" si="0"/>
        <v>0.72660952380952393</v>
      </c>
      <c r="O17" s="101">
        <v>2654</v>
      </c>
      <c r="P17" s="101">
        <v>231</v>
      </c>
      <c r="Q17" s="41">
        <f>L17-173.735</f>
        <v>17</v>
      </c>
      <c r="R17" s="42">
        <v>0</v>
      </c>
      <c r="S17" s="110" t="s">
        <v>97</v>
      </c>
    </row>
    <row r="18" spans="1:19" ht="33.200000000000003" customHeight="1" thickBot="1">
      <c r="A18" s="652"/>
      <c r="B18" s="665"/>
      <c r="C18" s="52" t="s">
        <v>5</v>
      </c>
      <c r="D18" s="53">
        <f>SUM(D17:D17)</f>
        <v>26250</v>
      </c>
      <c r="E18" s="54"/>
      <c r="F18" s="55">
        <f>SUM(F17:F17)</f>
        <v>177.45</v>
      </c>
      <c r="G18" s="206"/>
      <c r="H18" s="57"/>
      <c r="I18" s="56"/>
      <c r="J18" s="56">
        <f>SUM(J17:J17)</f>
        <v>22</v>
      </c>
      <c r="K18" s="56">
        <f>SUM(K17:K17)</f>
        <v>1</v>
      </c>
      <c r="L18" s="55">
        <f>SUM(L17:L17)</f>
        <v>190.73500000000001</v>
      </c>
      <c r="M18" s="55">
        <f>SUM(M17:M17)</f>
        <v>1.2893686000000002</v>
      </c>
      <c r="N18" s="55">
        <f t="shared" si="0"/>
        <v>0.72660952380952393</v>
      </c>
      <c r="O18" s="56">
        <f>SUM(O17:O17)</f>
        <v>2654</v>
      </c>
      <c r="P18" s="56">
        <f>SUM(P17:P17)</f>
        <v>231</v>
      </c>
      <c r="Q18" s="55">
        <f>SUM(Q17:Q17)</f>
        <v>17</v>
      </c>
      <c r="R18" s="55">
        <v>0</v>
      </c>
      <c r="S18" s="58"/>
    </row>
    <row r="19" spans="1:19" ht="33.200000000000003" customHeight="1">
      <c r="A19" s="652">
        <v>4</v>
      </c>
      <c r="B19" s="663" t="s">
        <v>110</v>
      </c>
      <c r="C19" s="108" t="s">
        <v>3</v>
      </c>
      <c r="D19" s="33">
        <v>3768</v>
      </c>
      <c r="E19" s="34">
        <v>8558</v>
      </c>
      <c r="F19" s="35">
        <f>+D19*E19/1000000</f>
        <v>32.246544</v>
      </c>
      <c r="G19" s="196" t="s">
        <v>112</v>
      </c>
      <c r="H19" s="36">
        <v>45216</v>
      </c>
      <c r="I19" s="37"/>
      <c r="J19" s="38">
        <v>38</v>
      </c>
      <c r="K19" s="38">
        <v>0</v>
      </c>
      <c r="L19" s="109">
        <v>0</v>
      </c>
      <c r="M19" s="42">
        <f>L19*E19/1000000</f>
        <v>0</v>
      </c>
      <c r="N19" s="35">
        <f t="shared" ref="N19:N26" si="3">L19/D19*100</f>
        <v>0</v>
      </c>
      <c r="O19" s="40">
        <v>17222</v>
      </c>
      <c r="P19" s="40">
        <v>0</v>
      </c>
      <c r="Q19" s="41">
        <v>0</v>
      </c>
      <c r="R19" s="42">
        <v>0</v>
      </c>
      <c r="S19" s="241" t="s">
        <v>122</v>
      </c>
    </row>
    <row r="20" spans="1:19" ht="33.200000000000003" customHeight="1">
      <c r="A20" s="652"/>
      <c r="B20" s="664"/>
      <c r="C20" s="111" t="s">
        <v>105</v>
      </c>
      <c r="D20" s="112">
        <v>1580</v>
      </c>
      <c r="E20" s="113">
        <v>6377</v>
      </c>
      <c r="F20" s="65">
        <f>+D20*E20/1000000</f>
        <v>10.075659999999999</v>
      </c>
      <c r="G20" s="205" t="s">
        <v>113</v>
      </c>
      <c r="H20" s="114"/>
      <c r="I20" s="115"/>
      <c r="J20" s="207">
        <v>0</v>
      </c>
      <c r="K20" s="207">
        <v>0</v>
      </c>
      <c r="L20" s="65">
        <v>0</v>
      </c>
      <c r="M20" s="118">
        <f>L20*E20/1000000</f>
        <v>0</v>
      </c>
      <c r="N20" s="65">
        <f t="shared" si="3"/>
        <v>0</v>
      </c>
      <c r="O20" s="66">
        <v>0</v>
      </c>
      <c r="P20" s="66">
        <v>0</v>
      </c>
      <c r="Q20" s="208">
        <v>0</v>
      </c>
      <c r="R20" s="118">
        <v>0</v>
      </c>
      <c r="S20" s="192"/>
    </row>
    <row r="21" spans="1:19" ht="33.200000000000003" customHeight="1" thickBot="1">
      <c r="A21" s="652"/>
      <c r="B21" s="665"/>
      <c r="C21" s="52" t="s">
        <v>5</v>
      </c>
      <c r="D21" s="53">
        <f>SUM(D19:D20)</f>
        <v>5348</v>
      </c>
      <c r="E21" s="54"/>
      <c r="F21" s="55">
        <f>SUM(F19:F20)</f>
        <v>42.322203999999999</v>
      </c>
      <c r="G21" s="193"/>
      <c r="H21" s="57"/>
      <c r="I21" s="56"/>
      <c r="J21" s="56">
        <f>SUM(J19:J20)</f>
        <v>38</v>
      </c>
      <c r="K21" s="56">
        <f>SUM(K19:K19)</f>
        <v>0</v>
      </c>
      <c r="L21" s="55">
        <f>SUM(L19:L19)</f>
        <v>0</v>
      </c>
      <c r="M21" s="55">
        <f>SUM(M19:M19)</f>
        <v>0</v>
      </c>
      <c r="N21" s="55">
        <f t="shared" si="3"/>
        <v>0</v>
      </c>
      <c r="O21" s="56">
        <f>SUM(O19:O19)</f>
        <v>17222</v>
      </c>
      <c r="P21" s="56">
        <f>SUM(P19:P19)</f>
        <v>0</v>
      </c>
      <c r="Q21" s="55">
        <f>SUM(Q19:Q19)</f>
        <v>0</v>
      </c>
      <c r="R21" s="55">
        <v>0</v>
      </c>
      <c r="S21" s="58"/>
    </row>
    <row r="22" spans="1:19" ht="33.200000000000003" customHeight="1">
      <c r="A22" s="652">
        <v>5</v>
      </c>
      <c r="B22" s="653" t="s">
        <v>120</v>
      </c>
      <c r="C22" s="4" t="s">
        <v>3</v>
      </c>
      <c r="D22" s="33">
        <v>3240</v>
      </c>
      <c r="E22" s="34">
        <v>8558</v>
      </c>
      <c r="F22" s="35">
        <f>+D22*E22/1000000</f>
        <v>27.727920000000001</v>
      </c>
      <c r="G22" s="196" t="s">
        <v>124</v>
      </c>
      <c r="H22" s="36"/>
      <c r="I22" s="37"/>
      <c r="J22" s="38">
        <v>0</v>
      </c>
      <c r="K22" s="38">
        <v>0</v>
      </c>
      <c r="L22" s="35">
        <v>0</v>
      </c>
      <c r="M22" s="39">
        <f>L22*E22/1000000</f>
        <v>0</v>
      </c>
      <c r="N22" s="35">
        <f t="shared" si="3"/>
        <v>0</v>
      </c>
      <c r="O22" s="40">
        <v>0</v>
      </c>
      <c r="P22" s="40">
        <v>0</v>
      </c>
      <c r="Q22" s="41">
        <v>0</v>
      </c>
      <c r="R22" s="42">
        <v>0</v>
      </c>
      <c r="S22" s="656" t="s">
        <v>125</v>
      </c>
    </row>
    <row r="23" spans="1:19" ht="33.200000000000003" customHeight="1">
      <c r="A23" s="652"/>
      <c r="B23" s="654"/>
      <c r="C23" s="43" t="s">
        <v>4</v>
      </c>
      <c r="D23" s="44">
        <v>296400</v>
      </c>
      <c r="E23" s="45">
        <v>6950</v>
      </c>
      <c r="F23" s="46">
        <f>+D23*E23/1000000</f>
        <v>2059.98</v>
      </c>
      <c r="G23" s="204" t="s">
        <v>124</v>
      </c>
      <c r="H23" s="47"/>
      <c r="I23" s="48"/>
      <c r="J23" s="49">
        <v>0</v>
      </c>
      <c r="K23" s="49">
        <v>0</v>
      </c>
      <c r="L23" s="46">
        <v>0</v>
      </c>
      <c r="M23" s="50">
        <f>L23*E23/1000000</f>
        <v>0</v>
      </c>
      <c r="N23" s="65">
        <f t="shared" si="3"/>
        <v>0</v>
      </c>
      <c r="O23" s="66">
        <v>0</v>
      </c>
      <c r="P23" s="66">
        <v>0</v>
      </c>
      <c r="Q23" s="51">
        <v>0</v>
      </c>
      <c r="R23" s="50">
        <v>0</v>
      </c>
      <c r="S23" s="657"/>
    </row>
    <row r="24" spans="1:19" ht="33.200000000000003" customHeight="1">
      <c r="A24" s="652"/>
      <c r="B24" s="654"/>
      <c r="C24" s="164" t="s">
        <v>105</v>
      </c>
      <c r="D24" s="165">
        <v>27148</v>
      </c>
      <c r="E24" s="45">
        <v>6377</v>
      </c>
      <c r="F24" s="46">
        <f>+D24*E24/1000000</f>
        <v>173.12279599999999</v>
      </c>
      <c r="G24" s="204" t="s">
        <v>124</v>
      </c>
      <c r="H24" s="167"/>
      <c r="I24" s="168"/>
      <c r="J24" s="49">
        <v>0</v>
      </c>
      <c r="K24" s="49">
        <v>0</v>
      </c>
      <c r="L24" s="46">
        <v>0</v>
      </c>
      <c r="M24" s="50">
        <f>L24*E24/1000000</f>
        <v>0</v>
      </c>
      <c r="N24" s="65">
        <f>L24/D24*100</f>
        <v>0</v>
      </c>
      <c r="O24" s="66">
        <v>0</v>
      </c>
      <c r="P24" s="66">
        <v>0</v>
      </c>
      <c r="Q24" s="51">
        <v>0</v>
      </c>
      <c r="R24" s="50">
        <v>0</v>
      </c>
      <c r="S24" s="657"/>
    </row>
    <row r="25" spans="1:19" ht="33.200000000000003" customHeight="1">
      <c r="A25" s="652"/>
      <c r="B25" s="654"/>
      <c r="C25" s="164" t="s">
        <v>121</v>
      </c>
      <c r="D25" s="165">
        <v>15538</v>
      </c>
      <c r="E25" s="166">
        <v>8635</v>
      </c>
      <c r="F25" s="46">
        <f>+D25*E25/1000000</f>
        <v>134.17062999999999</v>
      </c>
      <c r="G25" s="204" t="s">
        <v>124</v>
      </c>
      <c r="H25" s="167"/>
      <c r="I25" s="168"/>
      <c r="J25" s="49">
        <v>0</v>
      </c>
      <c r="K25" s="49">
        <v>0</v>
      </c>
      <c r="L25" s="46">
        <v>0</v>
      </c>
      <c r="M25" s="50">
        <f>L25*E25/1000000</f>
        <v>0</v>
      </c>
      <c r="N25" s="65">
        <f>L25/D25*100</f>
        <v>0</v>
      </c>
      <c r="O25" s="66">
        <v>0</v>
      </c>
      <c r="P25" s="66">
        <v>0</v>
      </c>
      <c r="Q25" s="51">
        <v>0</v>
      </c>
      <c r="R25" s="50">
        <v>0</v>
      </c>
      <c r="S25" s="658"/>
    </row>
    <row r="26" spans="1:19" ht="33.200000000000003" customHeight="1" thickBot="1">
      <c r="A26" s="652"/>
      <c r="B26" s="655"/>
      <c r="C26" s="52" t="s">
        <v>5</v>
      </c>
      <c r="D26" s="53">
        <f>SUM(D22:D25)</f>
        <v>342326</v>
      </c>
      <c r="E26" s="54"/>
      <c r="F26" s="55">
        <f>SUM(F22:F25)</f>
        <v>2395.001346</v>
      </c>
      <c r="G26" s="56"/>
      <c r="H26" s="57"/>
      <c r="I26" s="56"/>
      <c r="J26" s="56">
        <f>SUM(J22:J25)</f>
        <v>0</v>
      </c>
      <c r="K26" s="56">
        <f>SUM(K22:K25)</f>
        <v>0</v>
      </c>
      <c r="L26" s="55">
        <f>SUM(L22:L25)</f>
        <v>0</v>
      </c>
      <c r="M26" s="55">
        <f>SUM(M22:M25)</f>
        <v>0</v>
      </c>
      <c r="N26" s="55">
        <f t="shared" si="3"/>
        <v>0</v>
      </c>
      <c r="O26" s="56">
        <f>SUM(O22:O25)</f>
        <v>0</v>
      </c>
      <c r="P26" s="56">
        <f>SUM(P22:P25)</f>
        <v>0</v>
      </c>
      <c r="Q26" s="55">
        <f>SUM(Q22:Q25)</f>
        <v>0</v>
      </c>
      <c r="R26" s="55">
        <v>0</v>
      </c>
      <c r="S26" s="58"/>
    </row>
    <row r="27" spans="1:19" ht="33.200000000000003" customHeight="1">
      <c r="A27" s="652">
        <v>6</v>
      </c>
      <c r="B27" s="653" t="s">
        <v>123</v>
      </c>
      <c r="C27" s="4" t="s">
        <v>3</v>
      </c>
      <c r="D27" s="33">
        <v>4530</v>
      </c>
      <c r="E27" s="34">
        <v>8558</v>
      </c>
      <c r="F27" s="35">
        <f>+D27*E27/1000000</f>
        <v>38.767740000000003</v>
      </c>
      <c r="G27" s="649" t="s">
        <v>21</v>
      </c>
      <c r="H27" s="36"/>
      <c r="I27" s="37"/>
      <c r="J27" s="38">
        <v>0</v>
      </c>
      <c r="K27" s="38">
        <v>0</v>
      </c>
      <c r="L27" s="35">
        <v>0</v>
      </c>
      <c r="M27" s="39">
        <f>L27*E27/1000000</f>
        <v>0</v>
      </c>
      <c r="N27" s="35">
        <f t="shared" ref="N27:N32" si="4">L27/D27*100</f>
        <v>0</v>
      </c>
      <c r="O27" s="40">
        <v>0</v>
      </c>
      <c r="P27" s="40">
        <v>0</v>
      </c>
      <c r="Q27" s="41">
        <v>0</v>
      </c>
      <c r="R27" s="42">
        <v>0</v>
      </c>
      <c r="S27" s="81"/>
    </row>
    <row r="28" spans="1:19" ht="33.200000000000003" customHeight="1">
      <c r="A28" s="652"/>
      <c r="B28" s="654"/>
      <c r="C28" s="43" t="s">
        <v>4</v>
      </c>
      <c r="D28" s="44">
        <v>5664</v>
      </c>
      <c r="E28" s="45">
        <v>6950</v>
      </c>
      <c r="F28" s="46">
        <f>+D28*E28/1000000</f>
        <v>39.364800000000002</v>
      </c>
      <c r="G28" s="659"/>
      <c r="H28" s="47"/>
      <c r="I28" s="48"/>
      <c r="J28" s="49">
        <v>0</v>
      </c>
      <c r="K28" s="49">
        <v>0</v>
      </c>
      <c r="L28" s="46">
        <v>0</v>
      </c>
      <c r="M28" s="50">
        <f>L28*E28/1000000</f>
        <v>0</v>
      </c>
      <c r="N28" s="65">
        <f t="shared" si="4"/>
        <v>0</v>
      </c>
      <c r="O28" s="66">
        <v>0</v>
      </c>
      <c r="P28" s="66">
        <v>0</v>
      </c>
      <c r="Q28" s="51">
        <v>0</v>
      </c>
      <c r="R28" s="50">
        <v>0</v>
      </c>
      <c r="S28" s="201"/>
    </row>
    <row r="29" spans="1:19" ht="33.200000000000003" customHeight="1">
      <c r="A29" s="652"/>
      <c r="B29" s="654"/>
      <c r="C29" s="164" t="s">
        <v>15</v>
      </c>
      <c r="D29" s="165">
        <v>81760</v>
      </c>
      <c r="E29" s="166">
        <v>4600</v>
      </c>
      <c r="F29" s="46">
        <f>+D29*E29/1000000</f>
        <v>376.096</v>
      </c>
      <c r="G29" s="659"/>
      <c r="H29" s="167"/>
      <c r="I29" s="168"/>
      <c r="J29" s="49">
        <v>0</v>
      </c>
      <c r="K29" s="49">
        <v>0</v>
      </c>
      <c r="L29" s="46">
        <v>0</v>
      </c>
      <c r="M29" s="50">
        <f>L29*E29/1000000</f>
        <v>0</v>
      </c>
      <c r="N29" s="65">
        <f t="shared" si="4"/>
        <v>0</v>
      </c>
      <c r="O29" s="66">
        <v>0</v>
      </c>
      <c r="P29" s="66">
        <v>0</v>
      </c>
      <c r="Q29" s="51">
        <v>0</v>
      </c>
      <c r="R29" s="50">
        <v>0</v>
      </c>
      <c r="S29" s="202"/>
    </row>
    <row r="30" spans="1:19" ht="33.200000000000003" customHeight="1" thickBot="1">
      <c r="A30" s="652"/>
      <c r="B30" s="655"/>
      <c r="C30" s="52" t="s">
        <v>5</v>
      </c>
      <c r="D30" s="53">
        <f>SUM(D27:D29)</f>
        <v>91954</v>
      </c>
      <c r="E30" s="54"/>
      <c r="F30" s="55">
        <f>SUM(F27:F29)</f>
        <v>454.22854000000001</v>
      </c>
      <c r="G30" s="56"/>
      <c r="H30" s="57"/>
      <c r="I30" s="56"/>
      <c r="J30" s="56">
        <f>SUM(J27:J29)</f>
        <v>0</v>
      </c>
      <c r="K30" s="56">
        <f>SUM(K27:K29)</f>
        <v>0</v>
      </c>
      <c r="L30" s="55">
        <f>SUM(L27:L29)</f>
        <v>0</v>
      </c>
      <c r="M30" s="55">
        <f>SUM(M27:M29)</f>
        <v>0</v>
      </c>
      <c r="N30" s="55">
        <f t="shared" si="4"/>
        <v>0</v>
      </c>
      <c r="O30" s="56">
        <f>SUM(O27:O29)</f>
        <v>0</v>
      </c>
      <c r="P30" s="56">
        <f>SUM(P27:P29)</f>
        <v>0</v>
      </c>
      <c r="Q30" s="55">
        <f>SUM(Q27:Q29)</f>
        <v>0</v>
      </c>
      <c r="R30" s="55">
        <v>0</v>
      </c>
      <c r="S30" s="58"/>
    </row>
    <row r="31" spans="1:19" ht="33.200000000000003" customHeight="1">
      <c r="A31" s="652">
        <v>7</v>
      </c>
      <c r="B31" s="653" t="s">
        <v>126</v>
      </c>
      <c r="C31" s="4" t="s">
        <v>3</v>
      </c>
      <c r="D31" s="33">
        <v>293865</v>
      </c>
      <c r="E31" s="34">
        <v>8558</v>
      </c>
      <c r="F31" s="35">
        <f>+D31*E31/1000000</f>
        <v>2514.8966700000001</v>
      </c>
      <c r="G31" s="660" t="s">
        <v>21</v>
      </c>
      <c r="H31" s="36"/>
      <c r="I31" s="37"/>
      <c r="J31" s="38">
        <v>0</v>
      </c>
      <c r="K31" s="38">
        <v>0</v>
      </c>
      <c r="L31" s="35">
        <v>0</v>
      </c>
      <c r="M31" s="39">
        <f>L31*E31/1000000</f>
        <v>0</v>
      </c>
      <c r="N31" s="35">
        <f t="shared" si="4"/>
        <v>0</v>
      </c>
      <c r="O31" s="40">
        <v>0</v>
      </c>
      <c r="P31" s="40">
        <v>0</v>
      </c>
      <c r="Q31" s="41">
        <v>0</v>
      </c>
      <c r="R31" s="42">
        <v>0</v>
      </c>
      <c r="S31" s="81"/>
    </row>
    <row r="32" spans="1:19" ht="33.200000000000003" customHeight="1">
      <c r="A32" s="652"/>
      <c r="B32" s="654"/>
      <c r="C32" s="43" t="s">
        <v>4</v>
      </c>
      <c r="D32" s="44">
        <v>135200</v>
      </c>
      <c r="E32" s="45">
        <v>6950</v>
      </c>
      <c r="F32" s="46">
        <f>+D32*E32/1000000</f>
        <v>939.64</v>
      </c>
      <c r="G32" s="661"/>
      <c r="H32" s="47"/>
      <c r="I32" s="48"/>
      <c r="J32" s="49">
        <v>0</v>
      </c>
      <c r="K32" s="49">
        <v>0</v>
      </c>
      <c r="L32" s="46">
        <v>0</v>
      </c>
      <c r="M32" s="50">
        <f>L32*E32/1000000</f>
        <v>0</v>
      </c>
      <c r="N32" s="65">
        <f t="shared" si="4"/>
        <v>0</v>
      </c>
      <c r="O32" s="66">
        <v>0</v>
      </c>
      <c r="P32" s="66">
        <v>0</v>
      </c>
      <c r="Q32" s="51">
        <v>0</v>
      </c>
      <c r="R32" s="51">
        <v>0</v>
      </c>
      <c r="S32" s="201"/>
    </row>
    <row r="33" spans="1:19" ht="33.200000000000003" customHeight="1">
      <c r="A33" s="652"/>
      <c r="B33" s="654"/>
      <c r="C33" s="164" t="s">
        <v>105</v>
      </c>
      <c r="D33" s="165">
        <v>480803</v>
      </c>
      <c r="E33" s="45">
        <v>6377</v>
      </c>
      <c r="F33" s="46">
        <f>+D33*E33/1000000</f>
        <v>3066.080731</v>
      </c>
      <c r="G33" s="661"/>
      <c r="H33" s="167"/>
      <c r="I33" s="168"/>
      <c r="J33" s="49">
        <v>0</v>
      </c>
      <c r="K33" s="49">
        <v>0</v>
      </c>
      <c r="L33" s="46">
        <v>0</v>
      </c>
      <c r="M33" s="50">
        <f>L33*E33/1000000</f>
        <v>0</v>
      </c>
      <c r="N33" s="65">
        <f>L33/D33*100</f>
        <v>0</v>
      </c>
      <c r="O33" s="66">
        <v>0</v>
      </c>
      <c r="P33" s="66">
        <v>0</v>
      </c>
      <c r="Q33" s="51">
        <v>0</v>
      </c>
      <c r="R33" s="50">
        <v>0</v>
      </c>
      <c r="S33" s="202"/>
    </row>
    <row r="34" spans="1:19" ht="33.200000000000003" customHeight="1">
      <c r="A34" s="652"/>
      <c r="B34" s="654"/>
      <c r="C34" s="164" t="s">
        <v>15</v>
      </c>
      <c r="D34" s="165">
        <v>301650</v>
      </c>
      <c r="E34" s="166">
        <v>4600</v>
      </c>
      <c r="F34" s="46">
        <f>+D34*E34/1000000</f>
        <v>1387.59</v>
      </c>
      <c r="G34" s="662"/>
      <c r="H34" s="167"/>
      <c r="I34" s="168"/>
      <c r="J34" s="49">
        <v>0</v>
      </c>
      <c r="K34" s="49">
        <v>0</v>
      </c>
      <c r="L34" s="46">
        <v>0</v>
      </c>
      <c r="M34" s="50">
        <f>L34*E34/1000000</f>
        <v>0</v>
      </c>
      <c r="N34" s="65">
        <f>L34/D34*100</f>
        <v>0</v>
      </c>
      <c r="O34" s="66">
        <v>0</v>
      </c>
      <c r="P34" s="66">
        <v>0</v>
      </c>
      <c r="Q34" s="51">
        <v>0</v>
      </c>
      <c r="R34" s="50">
        <v>0</v>
      </c>
      <c r="S34" s="202"/>
    </row>
    <row r="35" spans="1:19" ht="33.200000000000003" customHeight="1" thickBot="1">
      <c r="A35" s="652"/>
      <c r="B35" s="655"/>
      <c r="C35" s="52" t="s">
        <v>5</v>
      </c>
      <c r="D35" s="53">
        <f>SUM(D31:D34)</f>
        <v>1211518</v>
      </c>
      <c r="E35" s="54"/>
      <c r="F35" s="55">
        <f>SUM(F31:F34)</f>
        <v>7908.2074009999997</v>
      </c>
      <c r="G35" s="56"/>
      <c r="H35" s="57"/>
      <c r="I35" s="56"/>
      <c r="J35" s="56">
        <f>SUM(J31:J34)</f>
        <v>0</v>
      </c>
      <c r="K35" s="56">
        <f t="shared" ref="K35:Q35" si="5">SUM(K31:K34)</f>
        <v>0</v>
      </c>
      <c r="L35" s="55">
        <f>SUM(L31:L34)</f>
        <v>0</v>
      </c>
      <c r="M35" s="55">
        <f t="shared" si="5"/>
        <v>0</v>
      </c>
      <c r="N35" s="55">
        <f t="shared" si="5"/>
        <v>0</v>
      </c>
      <c r="O35" s="55">
        <f t="shared" si="5"/>
        <v>0</v>
      </c>
      <c r="P35" s="55">
        <f t="shared" si="5"/>
        <v>0</v>
      </c>
      <c r="Q35" s="55">
        <f t="shared" si="5"/>
        <v>0</v>
      </c>
      <c r="R35" s="55">
        <v>0</v>
      </c>
      <c r="S35" s="200"/>
    </row>
    <row r="36" spans="1:19" ht="33.200000000000003" customHeight="1">
      <c r="A36" s="652">
        <v>8</v>
      </c>
      <c r="B36" s="663" t="s">
        <v>127</v>
      </c>
      <c r="C36" s="4" t="s">
        <v>3</v>
      </c>
      <c r="D36" s="33">
        <v>14900</v>
      </c>
      <c r="E36" s="34">
        <v>8558</v>
      </c>
      <c r="F36" s="35">
        <f>+D36*E36/1000000</f>
        <v>127.5142</v>
      </c>
      <c r="G36" s="649" t="s">
        <v>21</v>
      </c>
      <c r="H36" s="36"/>
      <c r="I36" s="37"/>
      <c r="J36" s="38">
        <v>0</v>
      </c>
      <c r="K36" s="38">
        <v>0</v>
      </c>
      <c r="L36" s="42">
        <v>0</v>
      </c>
      <c r="M36" s="42">
        <f>L36*E36/1000000</f>
        <v>0</v>
      </c>
      <c r="N36" s="35">
        <f>L36/D36*100</f>
        <v>0</v>
      </c>
      <c r="O36" s="40">
        <v>0</v>
      </c>
      <c r="P36" s="40">
        <v>0</v>
      </c>
      <c r="Q36" s="41">
        <f>L36-0</f>
        <v>0</v>
      </c>
      <c r="R36" s="42">
        <v>0</v>
      </c>
      <c r="S36" s="158"/>
    </row>
    <row r="37" spans="1:19" ht="33.200000000000003" customHeight="1">
      <c r="A37" s="652"/>
      <c r="B37" s="664"/>
      <c r="C37" s="164" t="s">
        <v>15</v>
      </c>
      <c r="D37" s="112">
        <v>1143000</v>
      </c>
      <c r="E37" s="113">
        <v>4600</v>
      </c>
      <c r="F37" s="215">
        <f>+D37*E37/1000000</f>
        <v>5257.8</v>
      </c>
      <c r="G37" s="650"/>
      <c r="H37" s="114"/>
      <c r="I37" s="115"/>
      <c r="J37" s="116"/>
      <c r="K37" s="116"/>
      <c r="L37" s="119"/>
      <c r="M37" s="119"/>
      <c r="N37" s="215"/>
      <c r="O37" s="216"/>
      <c r="P37" s="216"/>
      <c r="Q37" s="218"/>
      <c r="R37" s="119"/>
      <c r="S37" s="249"/>
    </row>
    <row r="38" spans="1:19" ht="33.200000000000003" customHeight="1" thickBot="1">
      <c r="A38" s="652"/>
      <c r="B38" s="665"/>
      <c r="C38" s="52" t="s">
        <v>5</v>
      </c>
      <c r="D38" s="53">
        <f>SUM(D36:D37)</f>
        <v>1157900</v>
      </c>
      <c r="E38" s="53"/>
      <c r="F38" s="55">
        <f>SUM(F36:F37)</f>
        <v>5385.3141999999998</v>
      </c>
      <c r="G38" s="651"/>
      <c r="H38" s="57"/>
      <c r="I38" s="56"/>
      <c r="J38" s="56">
        <f>SUM(J36:J37)</f>
        <v>0</v>
      </c>
      <c r="K38" s="56">
        <f t="shared" ref="K38:R38" si="6">SUM(K36:K37)</f>
        <v>0</v>
      </c>
      <c r="L38" s="55">
        <f t="shared" si="6"/>
        <v>0</v>
      </c>
      <c r="M38" s="55">
        <f t="shared" si="6"/>
        <v>0</v>
      </c>
      <c r="N38" s="55">
        <f t="shared" si="6"/>
        <v>0</v>
      </c>
      <c r="O38" s="55">
        <f t="shared" si="6"/>
        <v>0</v>
      </c>
      <c r="P38" s="55">
        <f t="shared" si="6"/>
        <v>0</v>
      </c>
      <c r="Q38" s="55">
        <f t="shared" si="6"/>
        <v>0</v>
      </c>
      <c r="R38" s="55">
        <f t="shared" si="6"/>
        <v>0</v>
      </c>
      <c r="S38" s="58"/>
    </row>
    <row r="39" spans="1:19" ht="33.200000000000003" customHeight="1" thickBot="1">
      <c r="A39" s="69"/>
      <c r="B39" s="676" t="s">
        <v>35</v>
      </c>
      <c r="C39" s="677"/>
      <c r="D39" s="59">
        <f>D11+D18+D16+D21+D26+D30+D35+D38</f>
        <v>3997502</v>
      </c>
      <c r="E39" s="59">
        <f>E11+E18+E16</f>
        <v>0</v>
      </c>
      <c r="F39" s="85">
        <f>F11+F18+F16+F21+F26+F30+F35+F38</f>
        <v>23673.345645000001</v>
      </c>
      <c r="G39" s="194"/>
      <c r="H39" s="60"/>
      <c r="I39" s="59"/>
      <c r="J39" s="61">
        <f t="shared" ref="J39:Q39" si="7">J11+J18+J21+J16+J26+J30+J35</f>
        <v>60</v>
      </c>
      <c r="K39" s="61">
        <f t="shared" si="7"/>
        <v>1</v>
      </c>
      <c r="L39" s="85">
        <f t="shared" si="7"/>
        <v>190.73500000000001</v>
      </c>
      <c r="M39" s="85">
        <f t="shared" si="7"/>
        <v>1.2893686000000002</v>
      </c>
      <c r="N39" s="85">
        <f t="shared" si="7"/>
        <v>0.72660952380952393</v>
      </c>
      <c r="O39" s="240">
        <f t="shared" si="7"/>
        <v>19876</v>
      </c>
      <c r="P39" s="240">
        <f t="shared" si="7"/>
        <v>231</v>
      </c>
      <c r="Q39" s="85">
        <f t="shared" si="7"/>
        <v>17</v>
      </c>
      <c r="R39" s="85">
        <v>0</v>
      </c>
      <c r="S39" s="62"/>
    </row>
    <row r="40" spans="1:19" ht="32.25" customHeight="1">
      <c r="A40" s="132"/>
      <c r="B40" s="9"/>
      <c r="C40" s="9"/>
      <c r="D40" s="95"/>
      <c r="E40" s="95"/>
      <c r="F40" s="96"/>
      <c r="G40" s="195"/>
      <c r="H40" s="97"/>
      <c r="I40" s="95"/>
      <c r="J40" s="98"/>
      <c r="K40" s="98"/>
      <c r="L40" s="99"/>
      <c r="M40" s="99"/>
      <c r="N40" s="95"/>
      <c r="O40" s="98"/>
      <c r="P40" s="98"/>
      <c r="Q40" s="96"/>
      <c r="R40" s="96"/>
      <c r="S40" s="100"/>
    </row>
    <row r="41" spans="1:19" ht="39.75" customHeight="1" thickBot="1">
      <c r="A41" s="680" t="s">
        <v>91</v>
      </c>
      <c r="B41" s="681"/>
      <c r="C41" s="682"/>
      <c r="D41" s="219"/>
      <c r="E41" s="219"/>
      <c r="F41" s="220"/>
      <c r="G41" s="221"/>
      <c r="H41" s="222"/>
      <c r="I41" s="219"/>
      <c r="J41" s="223"/>
      <c r="K41" s="223"/>
      <c r="L41" s="224"/>
      <c r="M41" s="224"/>
      <c r="N41" s="219"/>
      <c r="O41" s="223"/>
      <c r="P41" s="223"/>
      <c r="Q41" s="220"/>
      <c r="R41" s="220"/>
      <c r="S41" s="225"/>
    </row>
    <row r="42" spans="1:19" ht="36" customHeight="1">
      <c r="A42" s="669">
        <v>1</v>
      </c>
      <c r="B42" s="666" t="s">
        <v>86</v>
      </c>
      <c r="C42" s="210" t="s">
        <v>92</v>
      </c>
      <c r="D42" s="211">
        <v>54750</v>
      </c>
      <c r="E42" s="212">
        <v>11750</v>
      </c>
      <c r="F42" s="215">
        <f>+D42*E42/1000000</f>
        <v>643.3125</v>
      </c>
      <c r="G42" s="198" t="s">
        <v>93</v>
      </c>
      <c r="H42" s="213">
        <v>44979</v>
      </c>
      <c r="I42" s="214">
        <v>45133</v>
      </c>
      <c r="J42" s="116">
        <v>26</v>
      </c>
      <c r="K42" s="116">
        <v>26</v>
      </c>
      <c r="L42" s="118">
        <v>50184.08</v>
      </c>
      <c r="M42" s="119">
        <f>L42*E42/1000000</f>
        <v>589.66294000000005</v>
      </c>
      <c r="N42" s="215">
        <f>L42/D42*100</f>
        <v>91.660420091324198</v>
      </c>
      <c r="O42" s="216">
        <v>37632</v>
      </c>
      <c r="P42" s="217">
        <v>35235</v>
      </c>
      <c r="Q42" s="218">
        <f>L42-50184.08</f>
        <v>0</v>
      </c>
      <c r="R42" s="119">
        <v>0</v>
      </c>
      <c r="S42" s="209" t="s">
        <v>116</v>
      </c>
    </row>
    <row r="43" spans="1:19" ht="42" customHeight="1" thickBot="1">
      <c r="A43" s="670"/>
      <c r="B43" s="668"/>
      <c r="C43" s="52" t="s">
        <v>5</v>
      </c>
      <c r="D43" s="102">
        <f>SUM(D42)</f>
        <v>54750</v>
      </c>
      <c r="E43" s="54"/>
      <c r="F43" s="106">
        <f>SUM(F42)</f>
        <v>643.3125</v>
      </c>
      <c r="G43" s="197"/>
      <c r="H43" s="105"/>
      <c r="I43" s="104"/>
      <c r="J43" s="56">
        <f>SUM(J42:J42)</f>
        <v>26</v>
      </c>
      <c r="K43" s="56">
        <f>SUM(K42:K42)</f>
        <v>26</v>
      </c>
      <c r="L43" s="106">
        <f>SUM(L42)</f>
        <v>50184.08</v>
      </c>
      <c r="M43" s="106">
        <f>SUM(M42)</f>
        <v>589.66294000000005</v>
      </c>
      <c r="N43" s="103">
        <f>L43/D43*100</f>
        <v>91.660420091324198</v>
      </c>
      <c r="O43" s="54">
        <f>SUM(O42:O42)</f>
        <v>37632</v>
      </c>
      <c r="P43" s="56">
        <f>SUM(P42:P42)</f>
        <v>35235</v>
      </c>
      <c r="Q43" s="106">
        <f>SUM(Q42:Q42)</f>
        <v>0</v>
      </c>
      <c r="R43" s="106">
        <v>0</v>
      </c>
      <c r="S43" s="107"/>
    </row>
    <row r="44" spans="1:19" ht="42" customHeight="1">
      <c r="A44" s="669">
        <v>2</v>
      </c>
      <c r="B44" s="666" t="s">
        <v>33</v>
      </c>
      <c r="C44" s="108" t="s">
        <v>94</v>
      </c>
      <c r="D44" s="33">
        <v>88000</v>
      </c>
      <c r="E44" s="34">
        <v>10860</v>
      </c>
      <c r="F44" s="35">
        <f>+D44*E44/1000000</f>
        <v>955.68</v>
      </c>
      <c r="G44" s="196" t="s">
        <v>117</v>
      </c>
      <c r="H44" s="36">
        <v>45025</v>
      </c>
      <c r="I44" s="37">
        <v>45256</v>
      </c>
      <c r="J44" s="38">
        <v>71</v>
      </c>
      <c r="K44" s="38">
        <v>71</v>
      </c>
      <c r="L44" s="109">
        <v>59312.578500000003</v>
      </c>
      <c r="M44" s="42">
        <f>L44*E44/1000000</f>
        <v>644.13460251000004</v>
      </c>
      <c r="N44" s="35">
        <f>L44/D44*100</f>
        <v>67.400657386363633</v>
      </c>
      <c r="O44" s="40">
        <v>36902</v>
      </c>
      <c r="P44" s="40">
        <v>33076</v>
      </c>
      <c r="Q44" s="41">
        <f>L44-58327.68</f>
        <v>984.89850000000297</v>
      </c>
      <c r="R44" s="42">
        <v>2277.7485000000015</v>
      </c>
      <c r="S44" s="110" t="s">
        <v>118</v>
      </c>
    </row>
    <row r="45" spans="1:19" ht="32.25" customHeight="1">
      <c r="A45" s="687"/>
      <c r="B45" s="667"/>
      <c r="C45" s="111" t="s">
        <v>92</v>
      </c>
      <c r="D45" s="112">
        <v>2000</v>
      </c>
      <c r="E45" s="113">
        <v>11750</v>
      </c>
      <c r="F45" s="118">
        <f>+D45*E45/1000000</f>
        <v>23.5</v>
      </c>
      <c r="G45" s="198" t="s">
        <v>117</v>
      </c>
      <c r="H45" s="114"/>
      <c r="I45" s="115"/>
      <c r="J45" s="116"/>
      <c r="K45" s="116"/>
      <c r="L45" s="117">
        <v>0</v>
      </c>
      <c r="M45" s="118">
        <f>L45*E45/1000000</f>
        <v>0</v>
      </c>
      <c r="N45" s="119"/>
      <c r="O45" s="120"/>
      <c r="P45" s="121"/>
      <c r="Q45" s="122"/>
      <c r="R45" s="122"/>
      <c r="S45" s="178"/>
    </row>
    <row r="46" spans="1:19" ht="32.25" customHeight="1" thickBot="1">
      <c r="A46" s="670"/>
      <c r="B46" s="668"/>
      <c r="C46" s="52" t="s">
        <v>5</v>
      </c>
      <c r="D46" s="102">
        <f>SUM(D44:D45)</f>
        <v>90000</v>
      </c>
      <c r="E46" s="54"/>
      <c r="F46" s="106">
        <f>SUM(F44:F45)</f>
        <v>979.18</v>
      </c>
      <c r="G46" s="197"/>
      <c r="H46" s="105"/>
      <c r="I46" s="104"/>
      <c r="J46" s="56">
        <f>SUM(J44:J45)</f>
        <v>71</v>
      </c>
      <c r="K46" s="56">
        <f>SUM(K44:K45)</f>
        <v>71</v>
      </c>
      <c r="L46" s="106">
        <f>SUM(L44:L45)</f>
        <v>59312.578500000003</v>
      </c>
      <c r="M46" s="106">
        <f>SUM(M44:M45)</f>
        <v>644.13460251000004</v>
      </c>
      <c r="N46" s="103">
        <f t="shared" ref="N46:N53" si="8">L46/D46*100</f>
        <v>65.902865000000006</v>
      </c>
      <c r="O46" s="54">
        <f>SUM(O44:O45)</f>
        <v>36902</v>
      </c>
      <c r="P46" s="56">
        <f>SUM(P44:P45)</f>
        <v>33076</v>
      </c>
      <c r="Q46" s="106">
        <f>SUM(Q44:Q45)</f>
        <v>984.89850000000297</v>
      </c>
      <c r="R46" s="106">
        <v>2277.7485000000015</v>
      </c>
      <c r="S46" s="107"/>
    </row>
    <row r="47" spans="1:19" ht="32.25" customHeight="1">
      <c r="A47" s="669">
        <v>3</v>
      </c>
      <c r="B47" s="683" t="s">
        <v>95</v>
      </c>
      <c r="C47" s="108" t="s">
        <v>94</v>
      </c>
      <c r="D47" s="33">
        <v>3000</v>
      </c>
      <c r="E47" s="34">
        <v>10860</v>
      </c>
      <c r="F47" s="35">
        <f>+D47*E47/1000000</f>
        <v>32.58</v>
      </c>
      <c r="G47" s="196" t="s">
        <v>96</v>
      </c>
      <c r="H47" s="36">
        <v>45141</v>
      </c>
      <c r="I47" s="37"/>
      <c r="J47" s="38">
        <v>3</v>
      </c>
      <c r="K47" s="38">
        <v>3</v>
      </c>
      <c r="L47" s="109">
        <v>85.906000000000006</v>
      </c>
      <c r="M47" s="42">
        <f>L47*E47/1000000</f>
        <v>0.93293915999999999</v>
      </c>
      <c r="N47" s="35">
        <f t="shared" si="8"/>
        <v>2.8635333333333337</v>
      </c>
      <c r="O47" s="101">
        <v>958</v>
      </c>
      <c r="P47" s="101">
        <v>43</v>
      </c>
      <c r="Q47" s="41">
        <f>L47-85.906</f>
        <v>0</v>
      </c>
      <c r="R47" s="42">
        <v>0</v>
      </c>
      <c r="S47" s="110" t="s">
        <v>97</v>
      </c>
    </row>
    <row r="48" spans="1:19" ht="32.25" customHeight="1" thickBot="1">
      <c r="A48" s="670"/>
      <c r="B48" s="684"/>
      <c r="C48" s="52" t="s">
        <v>5</v>
      </c>
      <c r="D48" s="102">
        <f>SUM(D47)</f>
        <v>3000</v>
      </c>
      <c r="E48" s="54"/>
      <c r="F48" s="106">
        <f>SUM(F47)</f>
        <v>32.58</v>
      </c>
      <c r="G48" s="199"/>
      <c r="H48" s="105"/>
      <c r="I48" s="104"/>
      <c r="J48" s="56">
        <f>SUM(J47:J47)</f>
        <v>3</v>
      </c>
      <c r="K48" s="56">
        <f>SUM(K47:K47)</f>
        <v>3</v>
      </c>
      <c r="L48" s="106">
        <f>SUM(L47)</f>
        <v>85.906000000000006</v>
      </c>
      <c r="M48" s="106">
        <f>SUM(M47)</f>
        <v>0.93293915999999999</v>
      </c>
      <c r="N48" s="103">
        <f t="shared" si="8"/>
        <v>2.8635333333333337</v>
      </c>
      <c r="O48" s="54">
        <f>SUM(O47:O47)</f>
        <v>958</v>
      </c>
      <c r="P48" s="56">
        <f>SUM(P47:P47)</f>
        <v>43</v>
      </c>
      <c r="Q48" s="106">
        <f>SUM(Q47:Q47)</f>
        <v>0</v>
      </c>
      <c r="R48" s="106">
        <v>0</v>
      </c>
      <c r="S48" s="107"/>
    </row>
    <row r="49" spans="1:19" ht="32.25" customHeight="1">
      <c r="A49" s="669">
        <v>4</v>
      </c>
      <c r="B49" s="666" t="s">
        <v>98</v>
      </c>
      <c r="C49" s="108" t="s">
        <v>94</v>
      </c>
      <c r="D49" s="33">
        <v>50000</v>
      </c>
      <c r="E49" s="34">
        <v>10860</v>
      </c>
      <c r="F49" s="35">
        <f>+D49*E49/1000000</f>
        <v>543</v>
      </c>
      <c r="G49" s="196" t="s">
        <v>99</v>
      </c>
      <c r="H49" s="36">
        <v>45110</v>
      </c>
      <c r="I49" s="37">
        <v>45286</v>
      </c>
      <c r="J49" s="38">
        <v>68</v>
      </c>
      <c r="K49" s="38">
        <v>45</v>
      </c>
      <c r="L49" s="109">
        <v>643.8583000000001</v>
      </c>
      <c r="M49" s="42">
        <f>L49*E49/1000000</f>
        <v>6.9923011380000011</v>
      </c>
      <c r="N49" s="35">
        <f t="shared" si="8"/>
        <v>1.2877166000000002</v>
      </c>
      <c r="O49" s="101">
        <v>7869</v>
      </c>
      <c r="P49" s="101">
        <v>3327</v>
      </c>
      <c r="Q49" s="41">
        <f>L49-630.87</f>
        <v>12.988300000000095</v>
      </c>
      <c r="R49" s="42">
        <v>14.42670000000021</v>
      </c>
      <c r="S49" s="110" t="s">
        <v>97</v>
      </c>
    </row>
    <row r="50" spans="1:19" ht="32.25" customHeight="1" thickBot="1">
      <c r="A50" s="670"/>
      <c r="B50" s="668"/>
      <c r="C50" s="52" t="s">
        <v>5</v>
      </c>
      <c r="D50" s="102">
        <f>SUM(D49)</f>
        <v>50000</v>
      </c>
      <c r="E50" s="54"/>
      <c r="F50" s="106">
        <f>SUM(F49)</f>
        <v>543</v>
      </c>
      <c r="G50" s="193"/>
      <c r="H50" s="105"/>
      <c r="I50" s="104"/>
      <c r="J50" s="56">
        <f>SUM(J49:J49)</f>
        <v>68</v>
      </c>
      <c r="K50" s="56">
        <f>SUM(K49:K49)</f>
        <v>45</v>
      </c>
      <c r="L50" s="106">
        <f>SUM(L49)</f>
        <v>643.8583000000001</v>
      </c>
      <c r="M50" s="106">
        <f>SUM(M49)</f>
        <v>6.9923011380000011</v>
      </c>
      <c r="N50" s="103">
        <f t="shared" si="8"/>
        <v>1.2877166000000002</v>
      </c>
      <c r="O50" s="54">
        <f>SUM(O49:O49)</f>
        <v>7869</v>
      </c>
      <c r="P50" s="56">
        <f>SUM(P49:P49)</f>
        <v>3327</v>
      </c>
      <c r="Q50" s="106">
        <f>SUM(Q49:Q49)</f>
        <v>12.988300000000095</v>
      </c>
      <c r="R50" s="106">
        <v>14.42670000000021</v>
      </c>
      <c r="S50" s="107"/>
    </row>
    <row r="51" spans="1:19" ht="32.25" customHeight="1">
      <c r="A51" s="669">
        <v>5</v>
      </c>
      <c r="B51" s="666" t="s">
        <v>101</v>
      </c>
      <c r="C51" s="108" t="s">
        <v>94</v>
      </c>
      <c r="D51" s="33">
        <v>4250</v>
      </c>
      <c r="E51" s="34">
        <v>10860</v>
      </c>
      <c r="F51" s="35">
        <f>+D51*E51/1000000</f>
        <v>46.155000000000001</v>
      </c>
      <c r="G51" s="685" t="s">
        <v>21</v>
      </c>
      <c r="H51" s="36"/>
      <c r="I51" s="37"/>
      <c r="J51" s="38"/>
      <c r="K51" s="38"/>
      <c r="L51" s="42"/>
      <c r="M51" s="42">
        <f>L51*E51/1000000</f>
        <v>0</v>
      </c>
      <c r="N51" s="35">
        <f>L51/D51*100</f>
        <v>0</v>
      </c>
      <c r="O51" s="101"/>
      <c r="P51" s="101"/>
      <c r="Q51" s="41">
        <f>L51-0</f>
        <v>0</v>
      </c>
      <c r="R51" s="42">
        <v>0</v>
      </c>
      <c r="S51" s="158"/>
    </row>
    <row r="52" spans="1:19" ht="39" customHeight="1" thickBot="1">
      <c r="A52" s="670"/>
      <c r="B52" s="668"/>
      <c r="C52" s="52" t="s">
        <v>5</v>
      </c>
      <c r="D52" s="102">
        <f>SUM(D51)</f>
        <v>4250</v>
      </c>
      <c r="E52" s="54"/>
      <c r="F52" s="106">
        <f>SUM(F51)</f>
        <v>46.155000000000001</v>
      </c>
      <c r="G52" s="686"/>
      <c r="H52" s="105"/>
      <c r="I52" s="104"/>
      <c r="J52" s="56">
        <f>SUM(J51:J51)</f>
        <v>0</v>
      </c>
      <c r="K52" s="56">
        <f>SUM(K51:K51)</f>
        <v>0</v>
      </c>
      <c r="L52" s="106">
        <f>SUM(L51)</f>
        <v>0</v>
      </c>
      <c r="M52" s="106">
        <f>SUM(M51)</f>
        <v>0</v>
      </c>
      <c r="N52" s="103">
        <f>L52/D52*100</f>
        <v>0</v>
      </c>
      <c r="O52" s="54">
        <f>SUM(O51:O51)</f>
        <v>0</v>
      </c>
      <c r="P52" s="56">
        <f>SUM(P51:P51)</f>
        <v>0</v>
      </c>
      <c r="Q52" s="106">
        <f>SUM(Q51:Q51)</f>
        <v>0</v>
      </c>
      <c r="R52" s="106">
        <v>0</v>
      </c>
      <c r="S52" s="107"/>
    </row>
    <row r="53" spans="1:19" ht="32.25" customHeight="1" thickBot="1">
      <c r="A53" s="123"/>
      <c r="B53" s="124" t="s">
        <v>100</v>
      </c>
      <c r="C53" s="125"/>
      <c r="D53" s="126">
        <f>D43+D46+D48+D50+D52</f>
        <v>202000</v>
      </c>
      <c r="E53" s="126"/>
      <c r="F53" s="129">
        <f>F43+F46+F48+F50+F52</f>
        <v>2244.2275</v>
      </c>
      <c r="G53" s="126"/>
      <c r="H53" s="127"/>
      <c r="I53" s="126"/>
      <c r="J53" s="128">
        <f>J43+J46+J48+J50+J52</f>
        <v>168</v>
      </c>
      <c r="K53" s="128">
        <f>K43+K46+K48+K50+K52</f>
        <v>145</v>
      </c>
      <c r="L53" s="129">
        <f>L43+L46+L48+L50+L52</f>
        <v>110226.42280000001</v>
      </c>
      <c r="M53" s="129">
        <f>M43+M46+M48+M50+M52</f>
        <v>1241.7227828079999</v>
      </c>
      <c r="N53" s="103">
        <f t="shared" si="8"/>
        <v>54.567536039603972</v>
      </c>
      <c r="O53" s="130">
        <f>O43+O46+O48+O50+O52</f>
        <v>83361</v>
      </c>
      <c r="P53" s="130">
        <f>P43+P46+P48+P50+P52</f>
        <v>71681</v>
      </c>
      <c r="Q53" s="129">
        <f>Q43+Q46+Q48+Q50+Q52</f>
        <v>997.88680000000306</v>
      </c>
      <c r="R53" s="129">
        <v>2292.1752000000015</v>
      </c>
      <c r="S53" s="131"/>
    </row>
    <row r="54" spans="1:19" ht="32.25" customHeight="1" thickBot="1">
      <c r="A54" s="94"/>
      <c r="B54" s="678" t="s">
        <v>13</v>
      </c>
      <c r="C54" s="679"/>
      <c r="D54" s="170">
        <f>D39+D53</f>
        <v>4199502</v>
      </c>
      <c r="E54" s="170"/>
      <c r="F54" s="242">
        <f>F39+F53</f>
        <v>25917.573145000002</v>
      </c>
      <c r="G54" s="170"/>
      <c r="H54" s="171"/>
      <c r="I54" s="170"/>
      <c r="J54" s="172">
        <f>J39+J53</f>
        <v>228</v>
      </c>
      <c r="K54" s="172">
        <f>K39+K53</f>
        <v>146</v>
      </c>
      <c r="L54" s="173">
        <f>L39+L53</f>
        <v>110417.15780000002</v>
      </c>
      <c r="M54" s="173">
        <f>M39+M53</f>
        <v>1243.0121514079999</v>
      </c>
      <c r="N54" s="174">
        <f>L54/D54*100</f>
        <v>2.6292917064928178</v>
      </c>
      <c r="O54" s="172">
        <f>O39+O53</f>
        <v>103237</v>
      </c>
      <c r="P54" s="175">
        <f>P39+P53</f>
        <v>71912</v>
      </c>
      <c r="Q54" s="176">
        <f>Q39+Q53</f>
        <v>1014.8868000000031</v>
      </c>
      <c r="R54" s="176">
        <v>2292.1752000000015</v>
      </c>
      <c r="S54" s="177"/>
    </row>
    <row r="55" spans="1:19" ht="56.25" customHeight="1">
      <c r="C55" s="675" t="s">
        <v>28</v>
      </c>
      <c r="D55" s="675"/>
      <c r="E55" s="675"/>
      <c r="F55" s="675"/>
      <c r="Q55" s="28"/>
    </row>
    <row r="56" spans="1:19" ht="32.25" customHeight="1" thickBot="1">
      <c r="C56" s="78" t="s">
        <v>37</v>
      </c>
      <c r="D56" s="9"/>
      <c r="E56" s="9"/>
      <c r="F56" s="9"/>
      <c r="Q56" s="28"/>
    </row>
    <row r="57" spans="1:19" ht="57" customHeight="1" thickBot="1">
      <c r="C57" s="226" t="s">
        <v>0</v>
      </c>
      <c r="D57" s="227" t="s">
        <v>27</v>
      </c>
      <c r="E57" s="228" t="s">
        <v>30</v>
      </c>
      <c r="F57" s="229" t="s">
        <v>31</v>
      </c>
      <c r="G57" s="3"/>
      <c r="H57" s="675" t="s">
        <v>29</v>
      </c>
      <c r="I57" s="675"/>
      <c r="J57" s="675"/>
      <c r="K57" s="675"/>
      <c r="L57" s="675"/>
      <c r="M57" s="675"/>
      <c r="N57" s="675"/>
      <c r="O57" s="675"/>
      <c r="P57" s="675"/>
      <c r="Q57" s="181"/>
      <c r="R57" s="181"/>
    </row>
    <row r="58" spans="1:19" ht="32.25" customHeight="1">
      <c r="C58" s="63" t="s">
        <v>3</v>
      </c>
      <c r="D58" s="71">
        <f>D9+D12+D19+D22+D27+D31+D36</f>
        <v>332741</v>
      </c>
      <c r="E58" s="71">
        <f>E9+E12+E19+E22</f>
        <v>34232</v>
      </c>
      <c r="F58" s="70">
        <f>F9+F12+F19+F22+F27+F31+F36</f>
        <v>2847.5974780000001</v>
      </c>
      <c r="H58" s="23" t="s">
        <v>3</v>
      </c>
      <c r="I58" s="23" t="s">
        <v>3</v>
      </c>
      <c r="J58" s="182">
        <f t="shared" ref="J58:Q58" si="9">J9+J12+J19+J22+J27+J31+J36</f>
        <v>38</v>
      </c>
      <c r="K58" s="182">
        <f t="shared" si="9"/>
        <v>0</v>
      </c>
      <c r="L58" s="19">
        <f t="shared" si="9"/>
        <v>0</v>
      </c>
      <c r="M58" s="19">
        <f t="shared" si="9"/>
        <v>0</v>
      </c>
      <c r="N58" s="19">
        <f t="shared" si="9"/>
        <v>0</v>
      </c>
      <c r="O58" s="182">
        <f t="shared" si="9"/>
        <v>17222</v>
      </c>
      <c r="P58" s="182">
        <f t="shared" si="9"/>
        <v>0</v>
      </c>
      <c r="Q58" s="183">
        <f t="shared" si="9"/>
        <v>0</v>
      </c>
      <c r="R58" s="67">
        <v>0</v>
      </c>
      <c r="S58" s="11"/>
    </row>
    <row r="59" spans="1:19" ht="32.25" customHeight="1">
      <c r="C59" s="24" t="s">
        <v>4</v>
      </c>
      <c r="D59" s="72">
        <f>D10+D13+D23+D28+D32</f>
        <v>497689</v>
      </c>
      <c r="E59" s="72">
        <f>E10+E13+E23</f>
        <v>20850</v>
      </c>
      <c r="F59" s="68">
        <f>F10+F13+F23+F28+F32</f>
        <v>3458.9385499999999</v>
      </c>
      <c r="G59" s="3"/>
      <c r="H59" s="63" t="s">
        <v>4</v>
      </c>
      <c r="I59" s="24" t="s">
        <v>4</v>
      </c>
      <c r="J59" s="79">
        <f t="shared" ref="J59:Q59" si="10">J10+J13+J23+J28</f>
        <v>0</v>
      </c>
      <c r="K59" s="79">
        <f t="shared" si="10"/>
        <v>0</v>
      </c>
      <c r="L59" s="64">
        <f t="shared" si="10"/>
        <v>0</v>
      </c>
      <c r="M59" s="64">
        <f t="shared" si="10"/>
        <v>0</v>
      </c>
      <c r="N59" s="64">
        <f t="shared" si="10"/>
        <v>0</v>
      </c>
      <c r="O59" s="79">
        <f t="shared" si="10"/>
        <v>0</v>
      </c>
      <c r="P59" s="79">
        <f t="shared" si="10"/>
        <v>0</v>
      </c>
      <c r="Q59" s="82">
        <f t="shared" si="10"/>
        <v>0</v>
      </c>
      <c r="R59" s="70">
        <v>0</v>
      </c>
      <c r="S59" s="11"/>
    </row>
    <row r="60" spans="1:19" ht="32.25" customHeight="1" thickBot="1">
      <c r="C60" s="25" t="s">
        <v>14</v>
      </c>
      <c r="D60" s="72"/>
      <c r="E60" s="72">
        <v>7000</v>
      </c>
      <c r="F60" s="68"/>
      <c r="G60" s="3"/>
      <c r="H60" s="25" t="s">
        <v>14</v>
      </c>
      <c r="I60" s="25" t="s">
        <v>14</v>
      </c>
      <c r="J60" s="79"/>
      <c r="K60" s="79"/>
      <c r="L60" s="64"/>
      <c r="M60" s="64"/>
      <c r="N60" s="64" t="e">
        <f>#REF!+#REF!+#REF!+#REF!+#REF!+#REF!+#REF!</f>
        <v>#REF!</v>
      </c>
      <c r="O60" s="79"/>
      <c r="P60" s="79"/>
      <c r="Q60" s="82"/>
      <c r="R60" s="70"/>
      <c r="S60" s="11"/>
    </row>
    <row r="61" spans="1:19" ht="32.25" customHeight="1" thickBot="1">
      <c r="C61" s="15" t="s">
        <v>22</v>
      </c>
      <c r="D61" s="16">
        <f>SUM(D58:D60)</f>
        <v>830430</v>
      </c>
      <c r="E61" s="17"/>
      <c r="F61" s="18">
        <f>SUM(F58:F60)</f>
        <v>6306.5360280000004</v>
      </c>
      <c r="G61" s="3"/>
      <c r="H61" s="77" t="s">
        <v>38</v>
      </c>
      <c r="I61" s="12"/>
      <c r="J61" s="80">
        <f t="shared" ref="J61:Q61" si="11">SUM(J58:J60)</f>
        <v>38</v>
      </c>
      <c r="K61" s="61">
        <f t="shared" si="11"/>
        <v>0</v>
      </c>
      <c r="L61" s="14">
        <f t="shared" si="11"/>
        <v>0</v>
      </c>
      <c r="M61" s="14">
        <f t="shared" si="11"/>
        <v>0</v>
      </c>
      <c r="N61" s="14"/>
      <c r="O61" s="83">
        <f t="shared" si="11"/>
        <v>17222</v>
      </c>
      <c r="P61" s="83">
        <f t="shared" si="11"/>
        <v>0</v>
      </c>
      <c r="Q61" s="84">
        <f t="shared" si="11"/>
        <v>0</v>
      </c>
      <c r="R61" s="29">
        <v>0</v>
      </c>
      <c r="S61" s="11"/>
    </row>
    <row r="62" spans="1:19" ht="32.25" customHeight="1" thickBot="1">
      <c r="C62" s="78" t="s">
        <v>36</v>
      </c>
      <c r="D62" s="7"/>
      <c r="E62" s="7"/>
      <c r="F62" s="8"/>
      <c r="G62" s="3"/>
      <c r="H62" s="230"/>
      <c r="I62" s="7"/>
      <c r="J62" s="7"/>
      <c r="K62" s="8"/>
      <c r="L62" s="230"/>
      <c r="M62" s="8"/>
      <c r="N62" s="7"/>
      <c r="O62" s="8"/>
      <c r="P62" s="230"/>
      <c r="Q62" s="231"/>
      <c r="R62" s="231"/>
      <c r="S62" s="11"/>
    </row>
    <row r="63" spans="1:19" ht="32.25" customHeight="1">
      <c r="C63" s="23" t="s">
        <v>15</v>
      </c>
      <c r="D63" s="73">
        <f>D15+D29+D34+D37</f>
        <v>1617753</v>
      </c>
      <c r="E63" s="73">
        <v>4600</v>
      </c>
      <c r="F63" s="67">
        <f>F15+F29+F34+F37</f>
        <v>7441.6638000000003</v>
      </c>
      <c r="G63" s="21"/>
      <c r="H63" s="23" t="s">
        <v>15</v>
      </c>
      <c r="I63" s="23" t="s">
        <v>15</v>
      </c>
      <c r="J63" s="182">
        <f>J15+J29+J34+J37</f>
        <v>0</v>
      </c>
      <c r="K63" s="182">
        <f t="shared" ref="K63:R63" si="12">K15+K29+K34+K37</f>
        <v>0</v>
      </c>
      <c r="L63" s="19">
        <f t="shared" si="12"/>
        <v>0</v>
      </c>
      <c r="M63" s="19">
        <f t="shared" si="12"/>
        <v>0</v>
      </c>
      <c r="N63" s="19">
        <f t="shared" si="12"/>
        <v>0</v>
      </c>
      <c r="O63" s="182">
        <f t="shared" si="12"/>
        <v>0</v>
      </c>
      <c r="P63" s="182">
        <f t="shared" si="12"/>
        <v>0</v>
      </c>
      <c r="Q63" s="183">
        <f t="shared" si="12"/>
        <v>0</v>
      </c>
      <c r="R63" s="67">
        <f t="shared" si="12"/>
        <v>0</v>
      </c>
      <c r="S63" s="11"/>
    </row>
    <row r="64" spans="1:19" ht="32.25" customHeight="1">
      <c r="C64" s="24" t="s">
        <v>16</v>
      </c>
      <c r="D64" s="72">
        <f>D14+D20+D24+D33</f>
        <v>1507531</v>
      </c>
      <c r="E64" s="72">
        <v>6377</v>
      </c>
      <c r="F64" s="68">
        <f>F14+F20+F24+F33</f>
        <v>9613.5251869999993</v>
      </c>
      <c r="G64" s="21"/>
      <c r="H64" s="24" t="s">
        <v>16</v>
      </c>
      <c r="I64" s="24" t="s">
        <v>16</v>
      </c>
      <c r="J64" s="79">
        <f t="shared" ref="J64:Q64" si="13">J14+J20+J24+J33</f>
        <v>0</v>
      </c>
      <c r="K64" s="79">
        <f t="shared" si="13"/>
        <v>0</v>
      </c>
      <c r="L64" s="64">
        <f t="shared" si="13"/>
        <v>0</v>
      </c>
      <c r="M64" s="64">
        <f t="shared" si="13"/>
        <v>0</v>
      </c>
      <c r="N64" s="64">
        <f t="shared" si="13"/>
        <v>0</v>
      </c>
      <c r="O64" s="79">
        <f t="shared" si="13"/>
        <v>0</v>
      </c>
      <c r="P64" s="79">
        <f t="shared" si="13"/>
        <v>0</v>
      </c>
      <c r="Q64" s="82">
        <f t="shared" si="13"/>
        <v>0</v>
      </c>
      <c r="R64" s="70">
        <v>0</v>
      </c>
      <c r="S64" s="11"/>
    </row>
    <row r="65" spans="3:19" ht="32.25" customHeight="1">
      <c r="C65" s="24" t="s">
        <v>17</v>
      </c>
      <c r="D65" s="72">
        <f>D25</f>
        <v>15538</v>
      </c>
      <c r="E65" s="72">
        <v>8635</v>
      </c>
      <c r="F65" s="68">
        <f>F25</f>
        <v>134.17062999999999</v>
      </c>
      <c r="G65" s="21"/>
      <c r="H65" s="24" t="s">
        <v>17</v>
      </c>
      <c r="I65" s="24" t="s">
        <v>17</v>
      </c>
      <c r="J65" s="79">
        <f>J25</f>
        <v>0</v>
      </c>
      <c r="K65" s="79">
        <f t="shared" ref="K65:Q65" si="14">K25</f>
        <v>0</v>
      </c>
      <c r="L65" s="64">
        <f t="shared" si="14"/>
        <v>0</v>
      </c>
      <c r="M65" s="64">
        <f t="shared" si="14"/>
        <v>0</v>
      </c>
      <c r="N65" s="64">
        <f t="shared" si="14"/>
        <v>0</v>
      </c>
      <c r="O65" s="79">
        <f t="shared" si="14"/>
        <v>0</v>
      </c>
      <c r="P65" s="79">
        <f t="shared" si="14"/>
        <v>0</v>
      </c>
      <c r="Q65" s="82">
        <f t="shared" si="14"/>
        <v>0</v>
      </c>
      <c r="R65" s="70">
        <v>0</v>
      </c>
      <c r="S65" s="11"/>
    </row>
    <row r="66" spans="3:19" ht="32.25" customHeight="1" thickBot="1">
      <c r="C66" s="74" t="s">
        <v>18</v>
      </c>
      <c r="D66" s="75">
        <f>D17</f>
        <v>26250</v>
      </c>
      <c r="E66" s="75">
        <v>6760</v>
      </c>
      <c r="F66" s="76">
        <f>F17</f>
        <v>177.45</v>
      </c>
      <c r="G66" s="21"/>
      <c r="H66" s="74" t="s">
        <v>18</v>
      </c>
      <c r="I66" s="74" t="s">
        <v>18</v>
      </c>
      <c r="J66" s="245">
        <f t="shared" ref="J66:Q66" si="15">J17</f>
        <v>22</v>
      </c>
      <c r="K66" s="245">
        <f t="shared" si="15"/>
        <v>1</v>
      </c>
      <c r="L66" s="246">
        <f t="shared" si="15"/>
        <v>190.73500000000001</v>
      </c>
      <c r="M66" s="246">
        <f t="shared" si="15"/>
        <v>1.2893686000000002</v>
      </c>
      <c r="N66" s="246">
        <f t="shared" si="15"/>
        <v>0.72660952380952393</v>
      </c>
      <c r="O66" s="245">
        <f t="shared" si="15"/>
        <v>2654</v>
      </c>
      <c r="P66" s="245">
        <f t="shared" si="15"/>
        <v>231</v>
      </c>
      <c r="Q66" s="247">
        <f t="shared" si="15"/>
        <v>17</v>
      </c>
      <c r="R66" s="248">
        <v>18.344999999999999</v>
      </c>
      <c r="S66" s="11"/>
    </row>
    <row r="67" spans="3:19" ht="32.25" customHeight="1" thickBot="1">
      <c r="C67" s="77" t="s">
        <v>23</v>
      </c>
      <c r="D67" s="16">
        <f>SUM(D63:D66)</f>
        <v>3167072</v>
      </c>
      <c r="E67" s="17"/>
      <c r="F67" s="18">
        <f>SUM(F63:F66)</f>
        <v>17366.809617000003</v>
      </c>
      <c r="G67" s="21"/>
      <c r="H67" s="15" t="s">
        <v>38</v>
      </c>
      <c r="I67" s="15" t="s">
        <v>38</v>
      </c>
      <c r="J67" s="80">
        <f t="shared" ref="J67:Q67" si="16">SUM(J63:J66)</f>
        <v>22</v>
      </c>
      <c r="K67" s="80">
        <f t="shared" si="16"/>
        <v>1</v>
      </c>
      <c r="L67" s="14">
        <f t="shared" si="16"/>
        <v>190.73500000000001</v>
      </c>
      <c r="M67" s="14">
        <f t="shared" si="16"/>
        <v>1.2893686000000002</v>
      </c>
      <c r="N67" s="14">
        <f t="shared" si="16"/>
        <v>0.72660952380952393</v>
      </c>
      <c r="O67" s="80">
        <f t="shared" si="16"/>
        <v>2654</v>
      </c>
      <c r="P67" s="80">
        <f t="shared" si="16"/>
        <v>231</v>
      </c>
      <c r="Q67" s="84">
        <f t="shared" si="16"/>
        <v>17</v>
      </c>
      <c r="R67" s="162">
        <v>18.344999999999999</v>
      </c>
      <c r="S67" s="11"/>
    </row>
    <row r="68" spans="3:19" ht="32.25" customHeight="1" thickBot="1">
      <c r="C68" s="189"/>
      <c r="D68" s="133"/>
      <c r="E68" s="133"/>
      <c r="F68" s="154"/>
      <c r="G68" s="21"/>
      <c r="H68" s="232"/>
      <c r="I68" s="233"/>
      <c r="J68" s="234"/>
      <c r="K68" s="234"/>
      <c r="L68" s="235"/>
      <c r="M68" s="235"/>
      <c r="N68" s="235"/>
      <c r="O68" s="234"/>
      <c r="P68" s="234"/>
      <c r="Q68" s="236"/>
      <c r="R68" s="237"/>
      <c r="S68" s="11"/>
    </row>
    <row r="69" spans="3:19" ht="32.25" customHeight="1" thickBot="1">
      <c r="C69" s="187" t="s">
        <v>91</v>
      </c>
      <c r="D69" s="188"/>
      <c r="E69" s="22"/>
      <c r="F69" s="134"/>
      <c r="G69" s="21"/>
      <c r="H69" s="135"/>
      <c r="I69" s="136"/>
      <c r="J69" s="136"/>
      <c r="K69" s="137"/>
      <c r="L69" s="135"/>
      <c r="M69" s="137"/>
      <c r="N69" s="136"/>
      <c r="O69" s="137"/>
      <c r="P69" s="135"/>
      <c r="Q69" s="138"/>
      <c r="R69" s="138"/>
      <c r="S69" s="11"/>
    </row>
    <row r="70" spans="3:19" ht="32.25" customHeight="1">
      <c r="C70" s="184" t="s">
        <v>102</v>
      </c>
      <c r="D70" s="185">
        <f>D42+D45</f>
        <v>56750</v>
      </c>
      <c r="E70" s="160">
        <v>11750</v>
      </c>
      <c r="F70" s="67">
        <f>F42+F45</f>
        <v>666.8125</v>
      </c>
      <c r="G70" s="21"/>
      <c r="H70" s="139" t="s">
        <v>92</v>
      </c>
      <c r="I70" s="139" t="s">
        <v>92</v>
      </c>
      <c r="J70" s="159">
        <f t="shared" ref="J70:Q70" si="17">J42+J45</f>
        <v>26</v>
      </c>
      <c r="K70" s="159">
        <f t="shared" si="17"/>
        <v>26</v>
      </c>
      <c r="L70" s="19">
        <f t="shared" si="17"/>
        <v>50184.08</v>
      </c>
      <c r="M70" s="19">
        <f t="shared" si="17"/>
        <v>589.66294000000005</v>
      </c>
      <c r="N70" s="160">
        <f t="shared" si="17"/>
        <v>91.660420091324198</v>
      </c>
      <c r="O70" s="159">
        <f t="shared" si="17"/>
        <v>37632</v>
      </c>
      <c r="P70" s="159">
        <f t="shared" si="17"/>
        <v>35235</v>
      </c>
      <c r="Q70" s="140">
        <f t="shared" si="17"/>
        <v>0</v>
      </c>
      <c r="R70" s="141">
        <v>0</v>
      </c>
      <c r="S70" s="11"/>
    </row>
    <row r="71" spans="3:19" ht="32.25" customHeight="1" thickBot="1">
      <c r="C71" s="142" t="s">
        <v>103</v>
      </c>
      <c r="D71" s="143">
        <f>D44+D47+D49+D51</f>
        <v>145250</v>
      </c>
      <c r="E71" s="144">
        <v>10860</v>
      </c>
      <c r="F71" s="186">
        <f>F44+F47+F49+F51</f>
        <v>1577.415</v>
      </c>
      <c r="G71" s="21"/>
      <c r="H71" s="146" t="s">
        <v>94</v>
      </c>
      <c r="I71" s="147"/>
      <c r="J71" s="156">
        <f t="shared" ref="J71:Q71" si="18">J44+J47+J49+J51</f>
        <v>142</v>
      </c>
      <c r="K71" s="156">
        <f t="shared" si="18"/>
        <v>119</v>
      </c>
      <c r="L71" s="145">
        <f t="shared" si="18"/>
        <v>60042.342800000006</v>
      </c>
      <c r="M71" s="145">
        <f t="shared" si="18"/>
        <v>652.0598428080001</v>
      </c>
      <c r="N71" s="155">
        <f t="shared" si="18"/>
        <v>71.551907319696966</v>
      </c>
      <c r="O71" s="156">
        <f t="shared" si="18"/>
        <v>45729</v>
      </c>
      <c r="P71" s="156">
        <f t="shared" si="18"/>
        <v>36446</v>
      </c>
      <c r="Q71" s="157">
        <f t="shared" si="18"/>
        <v>997.88680000000306</v>
      </c>
      <c r="R71" s="161">
        <v>35.670999999994365</v>
      </c>
      <c r="S71" s="11"/>
    </row>
    <row r="72" spans="3:19" ht="32.25" customHeight="1" thickBot="1">
      <c r="C72" s="243" t="s">
        <v>104</v>
      </c>
      <c r="D72" s="148">
        <f>SUM(D70:D71)</f>
        <v>202000</v>
      </c>
      <c r="E72" s="12"/>
      <c r="F72" s="31">
        <f>SUM(F70:F71)</f>
        <v>2244.2275</v>
      </c>
      <c r="G72" s="21"/>
      <c r="H72" s="15" t="s">
        <v>38</v>
      </c>
      <c r="I72" s="12"/>
      <c r="J72" s="80">
        <f>SUM(J70:J71)</f>
        <v>168</v>
      </c>
      <c r="K72" s="80">
        <f t="shared" ref="K72:P72" si="19">SUM(K70:K71)</f>
        <v>145</v>
      </c>
      <c r="L72" s="14">
        <f t="shared" si="19"/>
        <v>110226.4228</v>
      </c>
      <c r="M72" s="14">
        <f>SUM(M70:M71)</f>
        <v>1241.7227828080001</v>
      </c>
      <c r="N72" s="14">
        <f t="shared" si="19"/>
        <v>163.21232741102116</v>
      </c>
      <c r="O72" s="80">
        <f t="shared" si="19"/>
        <v>83361</v>
      </c>
      <c r="P72" s="80">
        <f t="shared" si="19"/>
        <v>71681</v>
      </c>
      <c r="Q72" s="84">
        <f>SUM(Q70:Q71)</f>
        <v>997.88680000000306</v>
      </c>
      <c r="R72" s="162">
        <v>35.670999999994365</v>
      </c>
    </row>
    <row r="73" spans="3:19" ht="32.25" customHeight="1" thickBot="1">
      <c r="C73" s="135"/>
      <c r="D73" s="136"/>
      <c r="E73" s="136"/>
      <c r="F73" s="137"/>
      <c r="G73" s="149"/>
      <c r="H73" s="135"/>
      <c r="I73" s="136"/>
      <c r="J73" s="136"/>
      <c r="K73" s="137"/>
      <c r="L73" s="135"/>
      <c r="M73" s="137"/>
      <c r="N73" s="136"/>
      <c r="O73" s="150"/>
      <c r="P73" s="151"/>
      <c r="Q73" s="152"/>
      <c r="R73" s="152"/>
    </row>
    <row r="74" spans="3:19" ht="32.25" customHeight="1" thickBot="1">
      <c r="C74" s="13" t="s">
        <v>13</v>
      </c>
      <c r="D74" s="20">
        <f>D67+D61+D72</f>
        <v>4199502</v>
      </c>
      <c r="E74" s="20">
        <f>E67+E61+E72</f>
        <v>0</v>
      </c>
      <c r="F74" s="31">
        <f>F67+F61+F72</f>
        <v>25917.573145000002</v>
      </c>
      <c r="G74" s="22"/>
      <c r="H74" s="13" t="s">
        <v>13</v>
      </c>
      <c r="I74" s="12" t="s">
        <v>13</v>
      </c>
      <c r="J74" s="153">
        <f>J67+J61+J72</f>
        <v>228</v>
      </c>
      <c r="K74" s="153">
        <f t="shared" ref="K74:Q74" si="20">K67+K61+K72</f>
        <v>146</v>
      </c>
      <c r="L74" s="169">
        <f>L67+L61+L72</f>
        <v>110417.1578</v>
      </c>
      <c r="M74" s="169">
        <f t="shared" si="20"/>
        <v>1243.0121514080001</v>
      </c>
      <c r="N74" s="153">
        <f t="shared" si="20"/>
        <v>163.93893693483068</v>
      </c>
      <c r="O74" s="153">
        <f t="shared" si="20"/>
        <v>103237</v>
      </c>
      <c r="P74" s="153">
        <f t="shared" si="20"/>
        <v>71912</v>
      </c>
      <c r="Q74" s="84">
        <f t="shared" si="20"/>
        <v>1014.8868000000031</v>
      </c>
      <c r="R74" s="84">
        <v>54.015999999994364</v>
      </c>
    </row>
    <row r="75" spans="3:19" ht="32.25" customHeight="1">
      <c r="G75" s="3"/>
      <c r="Q75" s="28"/>
    </row>
    <row r="76" spans="3:19" ht="32.25" customHeight="1">
      <c r="G76" s="3"/>
      <c r="Q76" s="28"/>
    </row>
    <row r="77" spans="3:19" ht="32.25" customHeight="1">
      <c r="Q77" s="28"/>
    </row>
    <row r="78" spans="3:19" ht="32.25" customHeight="1">
      <c r="G78" s="3"/>
      <c r="H78" s="3"/>
    </row>
    <row r="79" spans="3:19" ht="32.25" customHeight="1">
      <c r="G79" s="3"/>
      <c r="J79" s="3"/>
      <c r="L79" s="11"/>
    </row>
    <row r="80" spans="3:19" ht="32.25" customHeight="1">
      <c r="G80" s="3"/>
      <c r="H80" s="3"/>
    </row>
    <row r="81" spans="7:12" ht="32.25" customHeight="1">
      <c r="G81" s="3"/>
      <c r="L81" s="11"/>
    </row>
    <row r="82" spans="7:12" ht="32.25" customHeight="1">
      <c r="G82" s="3"/>
      <c r="H82" s="3"/>
    </row>
    <row r="83" spans="7:12" ht="32.25" customHeight="1">
      <c r="G83" s="3"/>
      <c r="H83" s="3"/>
    </row>
    <row r="84" spans="7:12" ht="32.25" customHeight="1"/>
    <row r="85" spans="7:12" ht="32.25" customHeight="1">
      <c r="G85" s="3"/>
    </row>
    <row r="86" spans="7:12" ht="32.25" customHeight="1"/>
    <row r="87" spans="7:12" ht="32.25" customHeight="1">
      <c r="G87" s="3"/>
    </row>
    <row r="88" spans="7:12" ht="32.25" customHeight="1">
      <c r="J88" s="3"/>
    </row>
    <row r="89" spans="7:12" ht="32.25" customHeight="1">
      <c r="G89" s="3"/>
    </row>
    <row r="90" spans="7:12" ht="32.25" customHeight="1">
      <c r="G90" s="3"/>
    </row>
    <row r="91" spans="7:12" ht="32.25" customHeight="1"/>
    <row r="92" spans="7:12" ht="32.25" customHeight="1">
      <c r="G92" s="3"/>
    </row>
    <row r="93" spans="7:12" ht="32.25" customHeight="1"/>
    <row r="94" spans="7:12" ht="32.25" customHeight="1"/>
    <row r="95" spans="7:12" ht="32.25" customHeight="1"/>
    <row r="96" spans="7:12"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sheetData>
  <mergeCells count="61">
    <mergeCell ref="D6:D8"/>
    <mergeCell ref="L7:L8"/>
    <mergeCell ref="J6:J8"/>
    <mergeCell ref="G9:G10"/>
    <mergeCell ref="K6:K8"/>
    <mergeCell ref="I6:I8"/>
    <mergeCell ref="H6:H8"/>
    <mergeCell ref="Q6:Q8"/>
    <mergeCell ref="N6:N8"/>
    <mergeCell ref="A2:S2"/>
    <mergeCell ref="B4:S4"/>
    <mergeCell ref="R6:R8"/>
    <mergeCell ref="L6:M6"/>
    <mergeCell ref="C6:C8"/>
    <mergeCell ref="M7:M8"/>
    <mergeCell ref="P6:P8"/>
    <mergeCell ref="S6:S8"/>
    <mergeCell ref="O6:O8"/>
    <mergeCell ref="G6:G8"/>
    <mergeCell ref="B3:P3"/>
    <mergeCell ref="E6:E8"/>
    <mergeCell ref="A6:A8"/>
    <mergeCell ref="B6:B8"/>
    <mergeCell ref="A5:B5"/>
    <mergeCell ref="F6:F8"/>
    <mergeCell ref="H57:P57"/>
    <mergeCell ref="B39:C39"/>
    <mergeCell ref="B54:C54"/>
    <mergeCell ref="C55:F55"/>
    <mergeCell ref="A41:C41"/>
    <mergeCell ref="A42:A43"/>
    <mergeCell ref="B42:B43"/>
    <mergeCell ref="B47:B48"/>
    <mergeCell ref="A49:A50"/>
    <mergeCell ref="B49:B50"/>
    <mergeCell ref="A51:A52"/>
    <mergeCell ref="B51:B52"/>
    <mergeCell ref="G51:G52"/>
    <mergeCell ref="A44:A46"/>
    <mergeCell ref="B44:B46"/>
    <mergeCell ref="A47:A48"/>
    <mergeCell ref="A9:A11"/>
    <mergeCell ref="A17:A18"/>
    <mergeCell ref="B17:B18"/>
    <mergeCell ref="A19:A21"/>
    <mergeCell ref="B19:B21"/>
    <mergeCell ref="A12:A16"/>
    <mergeCell ref="B12:B16"/>
    <mergeCell ref="B9:B11"/>
    <mergeCell ref="G36:G38"/>
    <mergeCell ref="A31:A35"/>
    <mergeCell ref="B31:B35"/>
    <mergeCell ref="S22:S25"/>
    <mergeCell ref="A22:A26"/>
    <mergeCell ref="B22:B26"/>
    <mergeCell ref="A27:A30"/>
    <mergeCell ref="B27:B30"/>
    <mergeCell ref="G27:G29"/>
    <mergeCell ref="G31:G34"/>
    <mergeCell ref="A36:A38"/>
    <mergeCell ref="B36:B38"/>
  </mergeCells>
  <pageMargins left="0.21" right="0.16" top="0.26" bottom="0.27" header="0.22" footer="0.15748031496062992"/>
  <pageSetup paperSize="9" scale="40" fitToHeight="3" orientation="landscape" r:id="rId1"/>
  <ignoredErrors>
    <ignoredError sqref="F11" formula="1"/>
  </ignoredErrors>
</worksheet>
</file>

<file path=xl/worksheets/sheet2.xml><?xml version="1.0" encoding="utf-8"?>
<worksheet xmlns="http://schemas.openxmlformats.org/spreadsheetml/2006/main" xmlns:r="http://schemas.openxmlformats.org/officeDocument/2006/relationships">
  <dimension ref="A1:L40"/>
  <sheetViews>
    <sheetView zoomScale="80" zoomScaleNormal="80" workbookViewId="0">
      <pane xSplit="1" ySplit="1" topLeftCell="B2" activePane="bottomRight" state="frozen"/>
      <selection pane="topRight" activeCell="B1" sqref="B1"/>
      <selection pane="bottomLeft" activeCell="A2" sqref="A2"/>
      <selection pane="bottomRight" activeCell="D13" sqref="D13"/>
    </sheetView>
  </sheetViews>
  <sheetFormatPr defaultRowHeight="15"/>
  <cols>
    <col min="1" max="1" width="23.140625" customWidth="1"/>
    <col min="2" max="2" width="11.28515625" customWidth="1"/>
    <col min="3" max="3" width="10.140625" customWidth="1"/>
    <col min="4" max="4" width="12.140625" customWidth="1"/>
    <col min="5" max="5" width="10.28515625" customWidth="1"/>
    <col min="6" max="6" width="16.42578125" customWidth="1"/>
    <col min="7" max="7" width="19.85546875" customWidth="1"/>
    <col min="8" max="8" width="27.5703125" customWidth="1"/>
    <col min="9" max="9" width="30.42578125" customWidth="1"/>
    <col min="10" max="10" width="15.42578125" customWidth="1"/>
    <col min="11" max="11" width="17.42578125" customWidth="1"/>
    <col min="12" max="12" width="17.140625" customWidth="1"/>
  </cols>
  <sheetData>
    <row r="1" spans="1:12" ht="29.25" customHeight="1">
      <c r="A1" s="86" t="s">
        <v>43</v>
      </c>
      <c r="B1" s="86" t="s">
        <v>44</v>
      </c>
      <c r="C1" s="86" t="s">
        <v>45</v>
      </c>
      <c r="D1" s="86" t="s">
        <v>46</v>
      </c>
      <c r="E1" s="86" t="s">
        <v>47</v>
      </c>
      <c r="F1" s="86" t="s">
        <v>48</v>
      </c>
      <c r="G1" s="86" t="s">
        <v>49</v>
      </c>
      <c r="H1" s="86" t="s">
        <v>50</v>
      </c>
      <c r="I1" s="86" t="s">
        <v>51</v>
      </c>
      <c r="J1" s="87" t="s">
        <v>52</v>
      </c>
      <c r="K1" s="87" t="s">
        <v>53</v>
      </c>
      <c r="L1" s="86" t="s">
        <v>54</v>
      </c>
    </row>
    <row r="2" spans="1:12" ht="17.25" customHeight="1">
      <c r="A2" s="88" t="s">
        <v>55</v>
      </c>
      <c r="B2" s="88" t="s">
        <v>56</v>
      </c>
      <c r="C2" s="88" t="s">
        <v>57</v>
      </c>
      <c r="D2" s="88">
        <v>7755</v>
      </c>
      <c r="E2" s="88" t="s">
        <v>58</v>
      </c>
      <c r="F2" s="88">
        <v>275645</v>
      </c>
      <c r="G2" s="89">
        <v>0</v>
      </c>
      <c r="H2" s="89">
        <v>275645.005</v>
      </c>
      <c r="I2" s="89">
        <v>91491</v>
      </c>
      <c r="J2" s="90">
        <v>45089</v>
      </c>
      <c r="K2" s="90">
        <v>45138</v>
      </c>
      <c r="L2" s="91">
        <v>2137.6270137750003</v>
      </c>
    </row>
    <row r="3" spans="1:12" ht="17.25" customHeight="1">
      <c r="A3" s="88" t="s">
        <v>55</v>
      </c>
      <c r="B3" s="88" t="s">
        <v>56</v>
      </c>
      <c r="C3" s="88" t="s">
        <v>57</v>
      </c>
      <c r="D3" s="88">
        <v>7755</v>
      </c>
      <c r="E3" s="88" t="s">
        <v>59</v>
      </c>
      <c r="F3" s="88">
        <v>12523</v>
      </c>
      <c r="G3" s="89">
        <v>0</v>
      </c>
      <c r="H3" s="89">
        <v>0</v>
      </c>
      <c r="I3" s="89">
        <v>0</v>
      </c>
      <c r="J3" s="90">
        <v>45078</v>
      </c>
      <c r="K3" s="90">
        <v>45167</v>
      </c>
      <c r="L3" s="91">
        <v>0</v>
      </c>
    </row>
    <row r="4" spans="1:12" ht="17.25" customHeight="1">
      <c r="A4" s="88" t="s">
        <v>55</v>
      </c>
      <c r="B4" s="88" t="s">
        <v>56</v>
      </c>
      <c r="C4" s="88" t="s">
        <v>57</v>
      </c>
      <c r="D4" s="88">
        <v>7755</v>
      </c>
      <c r="E4" s="88" t="s">
        <v>81</v>
      </c>
      <c r="F4" s="88">
        <v>16250</v>
      </c>
      <c r="G4" s="89">
        <v>0</v>
      </c>
      <c r="H4" s="89">
        <v>1961.16</v>
      </c>
      <c r="I4" s="89">
        <v>1122</v>
      </c>
      <c r="J4" s="90">
        <v>45090</v>
      </c>
      <c r="K4" s="90">
        <v>45138</v>
      </c>
      <c r="L4" s="91">
        <v>15.208795800000001</v>
      </c>
    </row>
    <row r="5" spans="1:12" ht="17.25" customHeight="1">
      <c r="A5" s="88" t="s">
        <v>55</v>
      </c>
      <c r="B5" s="88" t="s">
        <v>56</v>
      </c>
      <c r="C5" s="88" t="s">
        <v>57</v>
      </c>
      <c r="D5" s="88">
        <v>7755</v>
      </c>
      <c r="E5" s="88" t="s">
        <v>60</v>
      </c>
      <c r="F5" s="88">
        <v>8400</v>
      </c>
      <c r="G5" s="89">
        <v>0</v>
      </c>
      <c r="H5" s="89">
        <v>13.15</v>
      </c>
      <c r="I5" s="89">
        <v>6</v>
      </c>
      <c r="J5" s="90">
        <v>45078</v>
      </c>
      <c r="K5" s="90">
        <v>45138</v>
      </c>
      <c r="L5" s="91">
        <v>0.10197825000000001</v>
      </c>
    </row>
    <row r="6" spans="1:12" ht="17.25" customHeight="1">
      <c r="A6" s="88" t="s">
        <v>61</v>
      </c>
      <c r="B6" s="88" t="s">
        <v>56</v>
      </c>
      <c r="C6" s="88" t="s">
        <v>57</v>
      </c>
      <c r="D6" s="88">
        <v>6600</v>
      </c>
      <c r="E6" s="88" t="s">
        <v>58</v>
      </c>
      <c r="F6" s="88">
        <v>26588</v>
      </c>
      <c r="G6" s="89">
        <v>0</v>
      </c>
      <c r="H6" s="89">
        <v>0</v>
      </c>
      <c r="I6" s="89">
        <v>0</v>
      </c>
      <c r="J6" s="90">
        <v>45089</v>
      </c>
      <c r="K6" s="90">
        <v>45138</v>
      </c>
      <c r="L6" s="91">
        <v>0</v>
      </c>
    </row>
    <row r="7" spans="1:12" ht="18">
      <c r="A7" s="88" t="s">
        <v>55</v>
      </c>
      <c r="B7" s="88" t="s">
        <v>62</v>
      </c>
      <c r="C7" s="88" t="s">
        <v>63</v>
      </c>
      <c r="D7" s="88">
        <v>7755</v>
      </c>
      <c r="E7" s="88" t="s">
        <v>64</v>
      </c>
      <c r="F7" s="88">
        <v>12605</v>
      </c>
      <c r="G7" s="89">
        <v>0</v>
      </c>
      <c r="H7" s="89">
        <v>2135.1999999999998</v>
      </c>
      <c r="I7" s="89">
        <v>1907</v>
      </c>
      <c r="J7" s="90">
        <v>44986</v>
      </c>
      <c r="K7" s="90">
        <v>45106</v>
      </c>
      <c r="L7" s="91">
        <v>16.558475999999999</v>
      </c>
    </row>
    <row r="8" spans="1:12" ht="18">
      <c r="A8" s="88" t="s">
        <v>55</v>
      </c>
      <c r="B8" s="88" t="s">
        <v>62</v>
      </c>
      <c r="C8" s="88" t="s">
        <v>63</v>
      </c>
      <c r="D8" s="88">
        <v>7755</v>
      </c>
      <c r="E8" s="88" t="s">
        <v>65</v>
      </c>
      <c r="F8" s="88">
        <v>14598</v>
      </c>
      <c r="G8" s="91">
        <v>0</v>
      </c>
      <c r="H8" s="89">
        <v>1878.8840600000001</v>
      </c>
      <c r="I8" s="89">
        <v>2815</v>
      </c>
      <c r="J8" s="90">
        <v>45068</v>
      </c>
      <c r="K8" s="90">
        <v>45167</v>
      </c>
      <c r="L8" s="91">
        <v>14.570745885300001</v>
      </c>
    </row>
    <row r="9" spans="1:12" ht="18">
      <c r="A9" s="88" t="s">
        <v>61</v>
      </c>
      <c r="B9" s="88" t="s">
        <v>62</v>
      </c>
      <c r="C9" s="88" t="s">
        <v>63</v>
      </c>
      <c r="D9" s="88">
        <v>6600</v>
      </c>
      <c r="E9" s="88" t="s">
        <v>65</v>
      </c>
      <c r="F9" s="88">
        <v>1060</v>
      </c>
      <c r="G9" s="89">
        <v>0</v>
      </c>
      <c r="H9" s="89">
        <v>0</v>
      </c>
      <c r="I9" s="89">
        <v>0</v>
      </c>
      <c r="J9" s="90">
        <v>45068</v>
      </c>
      <c r="K9" s="90">
        <v>45167</v>
      </c>
      <c r="L9" s="91">
        <v>0</v>
      </c>
    </row>
    <row r="10" spans="1:12" ht="18">
      <c r="A10" s="88" t="s">
        <v>61</v>
      </c>
      <c r="B10" s="88" t="s">
        <v>62</v>
      </c>
      <c r="C10" s="88" t="s">
        <v>63</v>
      </c>
      <c r="D10" s="88">
        <v>6600</v>
      </c>
      <c r="E10" s="88" t="s">
        <v>64</v>
      </c>
      <c r="F10" s="88">
        <v>60203</v>
      </c>
      <c r="G10" s="89">
        <v>0</v>
      </c>
      <c r="H10" s="89">
        <v>0</v>
      </c>
      <c r="I10" s="89">
        <v>1292</v>
      </c>
      <c r="J10" s="90">
        <v>44986</v>
      </c>
      <c r="K10" s="90">
        <v>45106</v>
      </c>
      <c r="L10" s="91">
        <v>0</v>
      </c>
    </row>
    <row r="11" spans="1:12" ht="18">
      <c r="A11" s="88" t="s">
        <v>66</v>
      </c>
      <c r="B11" s="88" t="s">
        <v>56</v>
      </c>
      <c r="C11" s="88" t="s">
        <v>63</v>
      </c>
      <c r="D11" s="88">
        <v>5335</v>
      </c>
      <c r="E11" s="88" t="s">
        <v>67</v>
      </c>
      <c r="F11" s="88">
        <v>50238</v>
      </c>
      <c r="G11" s="89">
        <v>0</v>
      </c>
      <c r="H11" s="89">
        <v>50238</v>
      </c>
      <c r="I11" s="89">
        <v>35164</v>
      </c>
      <c r="J11" s="90">
        <v>44970</v>
      </c>
      <c r="K11" s="90">
        <v>45059</v>
      </c>
      <c r="L11" s="91">
        <v>268.01972999999998</v>
      </c>
    </row>
    <row r="12" spans="1:12" ht="18">
      <c r="A12" s="88" t="s">
        <v>66</v>
      </c>
      <c r="B12" s="88" t="s">
        <v>56</v>
      </c>
      <c r="C12" s="88" t="s">
        <v>63</v>
      </c>
      <c r="D12" s="88">
        <v>5335</v>
      </c>
      <c r="E12" s="88" t="s">
        <v>59</v>
      </c>
      <c r="F12" s="88">
        <v>388000</v>
      </c>
      <c r="G12" s="89">
        <v>0</v>
      </c>
      <c r="H12" s="89">
        <v>328449.83020000003</v>
      </c>
      <c r="I12" s="89">
        <v>168797</v>
      </c>
      <c r="J12" s="90">
        <v>44995</v>
      </c>
      <c r="K12" s="90">
        <v>45084</v>
      </c>
      <c r="L12" s="91">
        <v>1752.279844117</v>
      </c>
    </row>
    <row r="13" spans="1:12" ht="18">
      <c r="A13" s="88" t="s">
        <v>66</v>
      </c>
      <c r="B13" s="88" t="s">
        <v>56</v>
      </c>
      <c r="C13" s="88" t="s">
        <v>63</v>
      </c>
      <c r="D13" s="88">
        <v>5335</v>
      </c>
      <c r="E13" s="88" t="s">
        <v>68</v>
      </c>
      <c r="F13" s="88">
        <v>122933</v>
      </c>
      <c r="G13" s="89">
        <v>0</v>
      </c>
      <c r="H13" s="89">
        <v>63132.1</v>
      </c>
      <c r="I13" s="89">
        <v>37563</v>
      </c>
      <c r="J13" s="90">
        <v>44970</v>
      </c>
      <c r="K13" s="90">
        <v>45059</v>
      </c>
      <c r="L13" s="91">
        <v>336.8097535</v>
      </c>
    </row>
    <row r="14" spans="1:12" ht="18">
      <c r="A14" s="88" t="s">
        <v>66</v>
      </c>
      <c r="B14" s="88" t="s">
        <v>56</v>
      </c>
      <c r="C14" s="88" t="s">
        <v>63</v>
      </c>
      <c r="D14" s="88">
        <v>5335</v>
      </c>
      <c r="E14" s="88" t="s">
        <v>69</v>
      </c>
      <c r="F14" s="88">
        <v>117000</v>
      </c>
      <c r="G14" s="93">
        <v>0</v>
      </c>
      <c r="H14" s="93">
        <v>79536.649999999994</v>
      </c>
      <c r="I14" s="93">
        <v>66043</v>
      </c>
      <c r="J14" s="90">
        <v>44972</v>
      </c>
      <c r="K14" s="90">
        <v>45061</v>
      </c>
      <c r="L14" s="92">
        <v>424.32802774999993</v>
      </c>
    </row>
    <row r="15" spans="1:12" ht="18">
      <c r="A15" s="88" t="s">
        <v>66</v>
      </c>
      <c r="B15" s="88" t="s">
        <v>56</v>
      </c>
      <c r="C15" s="88" t="s">
        <v>63</v>
      </c>
      <c r="D15" s="88">
        <v>5335</v>
      </c>
      <c r="E15" s="88" t="s">
        <v>70</v>
      </c>
      <c r="F15" s="88">
        <v>810088</v>
      </c>
      <c r="G15" s="93">
        <v>0</v>
      </c>
      <c r="H15" s="93">
        <v>772857.96200000006</v>
      </c>
      <c r="I15" s="93">
        <v>392768</v>
      </c>
      <c r="J15" s="90">
        <v>44999</v>
      </c>
      <c r="K15" s="90">
        <v>45088</v>
      </c>
      <c r="L15" s="92">
        <v>4123.1972272700004</v>
      </c>
    </row>
    <row r="16" spans="1:12" ht="18">
      <c r="A16" s="88" t="s">
        <v>66</v>
      </c>
      <c r="B16" s="88" t="s">
        <v>56</v>
      </c>
      <c r="C16" s="88" t="s">
        <v>63</v>
      </c>
      <c r="D16" s="88">
        <v>5335</v>
      </c>
      <c r="E16" s="88" t="s">
        <v>60</v>
      </c>
      <c r="F16" s="88">
        <v>10175</v>
      </c>
      <c r="G16" s="93">
        <v>0</v>
      </c>
      <c r="H16" s="93">
        <v>0</v>
      </c>
      <c r="I16" s="93">
        <v>0</v>
      </c>
      <c r="J16" s="90">
        <v>45017</v>
      </c>
      <c r="K16" s="90">
        <v>45056</v>
      </c>
      <c r="L16" s="92">
        <v>0</v>
      </c>
    </row>
    <row r="17" spans="1:12" ht="18">
      <c r="A17" s="88" t="s">
        <v>66</v>
      </c>
      <c r="B17" s="88" t="s">
        <v>56</v>
      </c>
      <c r="C17" s="88" t="s">
        <v>63</v>
      </c>
      <c r="D17" s="88">
        <v>5335</v>
      </c>
      <c r="E17" s="88" t="s">
        <v>58</v>
      </c>
      <c r="F17" s="88">
        <v>892210</v>
      </c>
      <c r="G17" s="93">
        <v>0</v>
      </c>
      <c r="H17" s="93">
        <v>795997.0294</v>
      </c>
      <c r="I17" s="93">
        <v>223818</v>
      </c>
      <c r="J17" s="90">
        <v>45010</v>
      </c>
      <c r="K17" s="90">
        <v>45077</v>
      </c>
      <c r="L17" s="92">
        <v>4246.6441518490001</v>
      </c>
    </row>
    <row r="18" spans="1:12" ht="18">
      <c r="A18" s="88" t="s">
        <v>66</v>
      </c>
      <c r="B18" s="88" t="s">
        <v>56</v>
      </c>
      <c r="C18" s="88" t="s">
        <v>63</v>
      </c>
      <c r="D18" s="88">
        <v>5335</v>
      </c>
      <c r="E18" s="88" t="s">
        <v>71</v>
      </c>
      <c r="F18" s="88">
        <v>212505</v>
      </c>
      <c r="G18" s="93">
        <v>0</v>
      </c>
      <c r="H18" s="93">
        <v>15584.9434</v>
      </c>
      <c r="I18" s="93">
        <v>7270</v>
      </c>
      <c r="J18" s="90">
        <v>45018</v>
      </c>
      <c r="K18" s="90">
        <v>45107</v>
      </c>
      <c r="L18" s="92">
        <v>83.145673039000002</v>
      </c>
    </row>
    <row r="19" spans="1:12" ht="18">
      <c r="A19" s="88" t="s">
        <v>66</v>
      </c>
      <c r="B19" s="88" t="s">
        <v>56</v>
      </c>
      <c r="C19" s="88" t="s">
        <v>63</v>
      </c>
      <c r="D19" s="88">
        <v>5335</v>
      </c>
      <c r="E19" s="88" t="s">
        <v>72</v>
      </c>
      <c r="F19" s="88">
        <v>665028</v>
      </c>
      <c r="G19" s="93">
        <v>0</v>
      </c>
      <c r="H19" s="93">
        <v>247318.15400000001</v>
      </c>
      <c r="I19" s="93">
        <v>97967</v>
      </c>
      <c r="J19" s="90">
        <v>45017</v>
      </c>
      <c r="K19" s="90">
        <v>45106</v>
      </c>
      <c r="L19" s="92">
        <v>1319.44235159</v>
      </c>
    </row>
    <row r="20" spans="1:12" ht="18">
      <c r="A20" s="88" t="s">
        <v>66</v>
      </c>
      <c r="B20" s="88" t="s">
        <v>56</v>
      </c>
      <c r="C20" s="88" t="s">
        <v>63</v>
      </c>
      <c r="D20" s="88">
        <v>5335</v>
      </c>
      <c r="E20" s="88" t="s">
        <v>73</v>
      </c>
      <c r="F20" s="88">
        <v>12305</v>
      </c>
      <c r="G20" s="93">
        <v>0</v>
      </c>
      <c r="H20" s="93">
        <v>0</v>
      </c>
      <c r="I20" s="93">
        <v>0</v>
      </c>
      <c r="J20" s="90">
        <v>45036</v>
      </c>
      <c r="K20" s="90">
        <v>45075</v>
      </c>
      <c r="L20" s="92">
        <v>0</v>
      </c>
    </row>
    <row r="21" spans="1:12" ht="18">
      <c r="A21" s="88" t="s">
        <v>74</v>
      </c>
      <c r="B21" s="88" t="s">
        <v>56</v>
      </c>
      <c r="C21" s="88" t="s">
        <v>63</v>
      </c>
      <c r="D21" s="88">
        <v>6000</v>
      </c>
      <c r="E21" s="88" t="s">
        <v>58</v>
      </c>
      <c r="F21" s="88">
        <v>157038</v>
      </c>
      <c r="G21" s="93">
        <v>0</v>
      </c>
      <c r="H21" s="93">
        <v>64460.921000000002</v>
      </c>
      <c r="I21" s="93">
        <v>39107</v>
      </c>
      <c r="J21" s="90">
        <v>45010</v>
      </c>
      <c r="K21" s="90">
        <v>45077</v>
      </c>
      <c r="L21" s="92">
        <v>386.76552600000002</v>
      </c>
    </row>
    <row r="22" spans="1:12" ht="18">
      <c r="A22" s="88" t="s">
        <v>74</v>
      </c>
      <c r="B22" s="88" t="s">
        <v>56</v>
      </c>
      <c r="C22" s="88" t="s">
        <v>63</v>
      </c>
      <c r="D22" s="88">
        <v>6000</v>
      </c>
      <c r="E22" s="88" t="s">
        <v>71</v>
      </c>
      <c r="F22" s="88">
        <v>149435</v>
      </c>
      <c r="G22" s="93">
        <v>0</v>
      </c>
      <c r="H22" s="93">
        <v>12013.650799999999</v>
      </c>
      <c r="I22" s="93">
        <v>5692</v>
      </c>
      <c r="J22" s="90">
        <v>45018</v>
      </c>
      <c r="K22" s="90">
        <v>45107</v>
      </c>
      <c r="L22" s="92">
        <v>72.081904800000004</v>
      </c>
    </row>
    <row r="23" spans="1:12" ht="18">
      <c r="A23" s="88" t="s">
        <v>74</v>
      </c>
      <c r="B23" s="88" t="s">
        <v>56</v>
      </c>
      <c r="C23" s="88" t="s">
        <v>63</v>
      </c>
      <c r="D23" s="88">
        <v>6000</v>
      </c>
      <c r="E23" s="88" t="s">
        <v>73</v>
      </c>
      <c r="F23" s="88">
        <v>28375</v>
      </c>
      <c r="G23" s="93">
        <v>0</v>
      </c>
      <c r="H23" s="93">
        <v>0</v>
      </c>
      <c r="I23" s="93">
        <v>0</v>
      </c>
      <c r="J23" s="90">
        <v>45036</v>
      </c>
      <c r="K23" s="90">
        <v>45075</v>
      </c>
      <c r="L23" s="92">
        <v>0</v>
      </c>
    </row>
    <row r="24" spans="1:12" ht="18">
      <c r="A24" s="88" t="s">
        <v>75</v>
      </c>
      <c r="B24" s="88" t="s">
        <v>56</v>
      </c>
      <c r="C24" s="88" t="s">
        <v>63</v>
      </c>
      <c r="D24" s="88">
        <v>5450</v>
      </c>
      <c r="E24" s="88" t="s">
        <v>59</v>
      </c>
      <c r="F24" s="88">
        <v>125300</v>
      </c>
      <c r="G24" s="93">
        <v>0</v>
      </c>
      <c r="H24" s="93">
        <v>84336.966799999995</v>
      </c>
      <c r="I24" s="93">
        <v>24252</v>
      </c>
      <c r="J24" s="90">
        <v>44995</v>
      </c>
      <c r="K24" s="90">
        <v>45104</v>
      </c>
      <c r="L24" s="92">
        <v>459.63646905999997</v>
      </c>
    </row>
    <row r="25" spans="1:12" ht="18">
      <c r="A25" s="88" t="s">
        <v>75</v>
      </c>
      <c r="B25" s="88" t="s">
        <v>56</v>
      </c>
      <c r="C25" s="88" t="s">
        <v>63</v>
      </c>
      <c r="D25" s="88">
        <v>5450</v>
      </c>
      <c r="E25" s="88" t="s">
        <v>60</v>
      </c>
      <c r="F25" s="88">
        <v>347105</v>
      </c>
      <c r="G25" s="93">
        <v>0</v>
      </c>
      <c r="H25" s="93">
        <v>341758.49</v>
      </c>
      <c r="I25" s="93">
        <v>183758</v>
      </c>
      <c r="J25" s="90">
        <v>45005</v>
      </c>
      <c r="K25" s="90">
        <v>45047</v>
      </c>
      <c r="L25" s="92">
        <v>1862.5837704999999</v>
      </c>
    </row>
    <row r="26" spans="1:12" ht="18">
      <c r="A26" s="88" t="s">
        <v>75</v>
      </c>
      <c r="B26" s="88" t="s">
        <v>56</v>
      </c>
      <c r="C26" s="88" t="s">
        <v>63</v>
      </c>
      <c r="D26" s="88">
        <v>5450</v>
      </c>
      <c r="E26" s="88" t="s">
        <v>72</v>
      </c>
      <c r="F26" s="88">
        <v>1519318</v>
      </c>
      <c r="G26" s="93">
        <v>0</v>
      </c>
      <c r="H26" s="93">
        <v>485709.45</v>
      </c>
      <c r="I26" s="93">
        <v>183209</v>
      </c>
      <c r="J26" s="90">
        <v>45017</v>
      </c>
      <c r="K26" s="90">
        <v>45131</v>
      </c>
      <c r="L26" s="92">
        <v>2647.1165025</v>
      </c>
    </row>
    <row r="27" spans="1:12" ht="18">
      <c r="A27" s="88" t="s">
        <v>75</v>
      </c>
      <c r="B27" s="88" t="s">
        <v>56</v>
      </c>
      <c r="C27" s="88" t="s">
        <v>63</v>
      </c>
      <c r="D27" s="88">
        <v>5450</v>
      </c>
      <c r="E27" s="88" t="s">
        <v>58</v>
      </c>
      <c r="F27" s="88">
        <v>481615</v>
      </c>
      <c r="G27" s="93">
        <v>0</v>
      </c>
      <c r="H27" s="93">
        <v>167090.96100000001</v>
      </c>
      <c r="I27" s="93">
        <v>48964</v>
      </c>
      <c r="J27" s="90">
        <v>45010</v>
      </c>
      <c r="K27" s="90">
        <v>45077</v>
      </c>
      <c r="L27" s="92">
        <v>910.64573745000007</v>
      </c>
    </row>
    <row r="28" spans="1:12" ht="18">
      <c r="A28" s="88" t="s">
        <v>75</v>
      </c>
      <c r="B28" s="88" t="s">
        <v>56</v>
      </c>
      <c r="C28" s="88" t="s">
        <v>63</v>
      </c>
      <c r="D28" s="88">
        <v>5450</v>
      </c>
      <c r="E28" s="88" t="s">
        <v>71</v>
      </c>
      <c r="F28" s="88">
        <v>304723</v>
      </c>
      <c r="G28" s="93">
        <v>0</v>
      </c>
      <c r="H28" s="93">
        <v>32368.374100000001</v>
      </c>
      <c r="I28" s="93">
        <v>12648</v>
      </c>
      <c r="J28" s="90">
        <v>45018</v>
      </c>
      <c r="K28" s="90">
        <v>45107</v>
      </c>
      <c r="L28" s="92">
        <v>176.40763884500001</v>
      </c>
    </row>
    <row r="29" spans="1:12" ht="18">
      <c r="A29" s="88" t="s">
        <v>75</v>
      </c>
      <c r="B29" s="88" t="s">
        <v>56</v>
      </c>
      <c r="C29" s="88" t="s">
        <v>63</v>
      </c>
      <c r="D29" s="88">
        <v>5450</v>
      </c>
      <c r="E29" s="88" t="s">
        <v>76</v>
      </c>
      <c r="F29" s="88">
        <v>45793</v>
      </c>
      <c r="G29" s="93">
        <v>0</v>
      </c>
      <c r="H29" s="93">
        <v>3296</v>
      </c>
      <c r="I29" s="93">
        <v>1066</v>
      </c>
      <c r="J29" s="90">
        <v>45075</v>
      </c>
      <c r="K29" s="90">
        <v>45184</v>
      </c>
      <c r="L29" s="92">
        <v>17.963200000000001</v>
      </c>
    </row>
    <row r="30" spans="1:12" ht="18">
      <c r="A30" s="88" t="s">
        <v>77</v>
      </c>
      <c r="B30" s="88" t="s">
        <v>56</v>
      </c>
      <c r="C30" s="88" t="s">
        <v>63</v>
      </c>
      <c r="D30" s="88">
        <v>5850</v>
      </c>
      <c r="E30" s="88" t="s">
        <v>65</v>
      </c>
      <c r="F30" s="88">
        <v>12505</v>
      </c>
      <c r="G30" s="93">
        <v>0</v>
      </c>
      <c r="H30" s="93">
        <v>118.30000000000001</v>
      </c>
      <c r="I30" s="93">
        <v>152</v>
      </c>
      <c r="J30" s="90">
        <v>45068</v>
      </c>
      <c r="K30" s="90">
        <v>45167</v>
      </c>
      <c r="L30" s="92">
        <v>0.69205500000000009</v>
      </c>
    </row>
    <row r="31" spans="1:12" ht="18">
      <c r="A31" s="88" t="s">
        <v>78</v>
      </c>
      <c r="B31" s="88" t="s">
        <v>56</v>
      </c>
      <c r="C31" s="88" t="s">
        <v>63</v>
      </c>
      <c r="D31" s="88">
        <v>6400</v>
      </c>
      <c r="E31" s="88" t="s">
        <v>67</v>
      </c>
      <c r="F31" s="88">
        <v>6500</v>
      </c>
      <c r="G31" s="89">
        <v>0</v>
      </c>
      <c r="H31" s="89">
        <v>6500</v>
      </c>
      <c r="I31" s="89">
        <v>5214</v>
      </c>
      <c r="J31" s="90">
        <v>44988</v>
      </c>
      <c r="K31" s="90">
        <v>45077</v>
      </c>
      <c r="L31" s="92">
        <v>41.6</v>
      </c>
    </row>
    <row r="32" spans="1:12" ht="18">
      <c r="A32" s="88" t="s">
        <v>78</v>
      </c>
      <c r="B32" s="88" t="s">
        <v>56</v>
      </c>
      <c r="C32" s="88" t="s">
        <v>63</v>
      </c>
      <c r="D32" s="88">
        <v>6400</v>
      </c>
      <c r="E32" s="88" t="s">
        <v>65</v>
      </c>
      <c r="F32" s="88">
        <v>4805</v>
      </c>
      <c r="G32" s="89">
        <v>0</v>
      </c>
      <c r="H32" s="89">
        <v>81.715999999999994</v>
      </c>
      <c r="I32" s="89">
        <v>156</v>
      </c>
      <c r="J32" s="90">
        <v>45068</v>
      </c>
      <c r="K32" s="90">
        <v>45167</v>
      </c>
      <c r="L32" s="92">
        <v>0.52298239999999996</v>
      </c>
    </row>
    <row r="33" spans="1:12" ht="18">
      <c r="A33" s="88" t="s">
        <v>78</v>
      </c>
      <c r="B33" s="88" t="s">
        <v>56</v>
      </c>
      <c r="C33" s="88" t="s">
        <v>63</v>
      </c>
      <c r="D33" s="88">
        <v>6400</v>
      </c>
      <c r="E33" s="88" t="s">
        <v>60</v>
      </c>
      <c r="F33" s="88">
        <v>5008</v>
      </c>
      <c r="G33" s="89">
        <v>0</v>
      </c>
      <c r="H33" s="89">
        <v>0</v>
      </c>
      <c r="I33" s="89">
        <v>0</v>
      </c>
      <c r="J33" s="90">
        <v>45078</v>
      </c>
      <c r="K33" s="90">
        <v>45107</v>
      </c>
      <c r="L33" s="92">
        <v>0</v>
      </c>
    </row>
    <row r="34" spans="1:12" ht="18">
      <c r="A34" s="88" t="s">
        <v>83</v>
      </c>
      <c r="B34" s="88" t="s">
        <v>56</v>
      </c>
      <c r="C34" s="88" t="s">
        <v>63</v>
      </c>
      <c r="D34" s="88">
        <v>5450</v>
      </c>
      <c r="E34" s="88" t="s">
        <v>69</v>
      </c>
      <c r="F34" s="88">
        <v>7898</v>
      </c>
      <c r="G34" s="89">
        <v>0</v>
      </c>
      <c r="H34" s="89">
        <v>1629.68</v>
      </c>
      <c r="I34" s="89">
        <v>1292</v>
      </c>
      <c r="J34" s="90">
        <v>45062</v>
      </c>
      <c r="K34" s="90">
        <v>45169</v>
      </c>
      <c r="L34" s="92">
        <v>9.2076919999999998</v>
      </c>
    </row>
    <row r="35" spans="1:12" ht="18">
      <c r="A35" s="88" t="s">
        <v>79</v>
      </c>
      <c r="B35" s="88" t="s">
        <v>56</v>
      </c>
      <c r="C35" s="88">
        <v>2023</v>
      </c>
      <c r="D35" s="88">
        <v>11750</v>
      </c>
      <c r="E35" s="88" t="s">
        <v>69</v>
      </c>
      <c r="F35" s="88">
        <f>'Kharif-2023'!D42</f>
        <v>54750</v>
      </c>
      <c r="G35" s="91">
        <f>'Kharif-2023'!Q47</f>
        <v>0</v>
      </c>
      <c r="H35" s="89">
        <f>'Kharif-2023'!L42</f>
        <v>50184.08</v>
      </c>
      <c r="I35" s="179">
        <f>'Kharif-2023'!P42</f>
        <v>35235</v>
      </c>
      <c r="J35" s="90">
        <v>44953</v>
      </c>
      <c r="K35" s="90">
        <v>45133</v>
      </c>
      <c r="L35" s="92">
        <f>'Kharif-2023'!M42</f>
        <v>589.66294000000005</v>
      </c>
    </row>
    <row r="36" spans="1:12" ht="18">
      <c r="A36" s="88" t="s">
        <v>79</v>
      </c>
      <c r="B36" s="88" t="s">
        <v>56</v>
      </c>
      <c r="C36" s="88">
        <v>2023</v>
      </c>
      <c r="D36" s="88">
        <v>11750</v>
      </c>
      <c r="E36" s="88" t="s">
        <v>64</v>
      </c>
      <c r="F36" s="88">
        <f>'Kharif-2023'!D45</f>
        <v>2000</v>
      </c>
      <c r="G36" s="180">
        <f>'Kharif-2023'!Q45</f>
        <v>0</v>
      </c>
      <c r="H36" s="91">
        <f>'Kharif-2023'!L45</f>
        <v>0</v>
      </c>
      <c r="I36" s="180">
        <f>'Kharif-2023'!Q45</f>
        <v>0</v>
      </c>
      <c r="J36" s="90">
        <v>45017</v>
      </c>
      <c r="K36" s="90">
        <v>45196</v>
      </c>
      <c r="L36" s="92">
        <f>'Kharif-2023'!M45</f>
        <v>0</v>
      </c>
    </row>
    <row r="37" spans="1:12" ht="18">
      <c r="A37" s="88" t="s">
        <v>80</v>
      </c>
      <c r="B37" s="88" t="s">
        <v>56</v>
      </c>
      <c r="C37" s="88">
        <v>2023</v>
      </c>
      <c r="D37" s="88">
        <v>10860</v>
      </c>
      <c r="E37" s="88" t="s">
        <v>64</v>
      </c>
      <c r="F37" s="88">
        <f>'Kharif-2023'!D44</f>
        <v>88000</v>
      </c>
      <c r="G37" s="91">
        <f>'Kharif-2023'!Q44</f>
        <v>984.89850000000297</v>
      </c>
      <c r="H37" s="91">
        <f>'Kharif-2023'!L44</f>
        <v>59312.578500000003</v>
      </c>
      <c r="I37" s="89">
        <f>'Kharif-2023'!P44</f>
        <v>33076</v>
      </c>
      <c r="J37" s="90">
        <v>45017</v>
      </c>
      <c r="K37" s="90">
        <v>45196</v>
      </c>
      <c r="L37" s="92">
        <f>'Kharif-2023'!M44</f>
        <v>644.13460251000004</v>
      </c>
    </row>
    <row r="38" spans="1:12" ht="18">
      <c r="A38" s="88" t="s">
        <v>80</v>
      </c>
      <c r="B38" s="88" t="s">
        <v>56</v>
      </c>
      <c r="C38" s="88">
        <v>2023</v>
      </c>
      <c r="D38" s="88">
        <v>10860</v>
      </c>
      <c r="E38" s="88" t="s">
        <v>82</v>
      </c>
      <c r="F38" s="88">
        <f>'Kharif-2023'!D49</f>
        <v>50000</v>
      </c>
      <c r="G38" s="91">
        <f>'Kharif-2023'!Q49</f>
        <v>12.988300000000095</v>
      </c>
      <c r="H38" s="91">
        <f>'Kharif-2023'!L49</f>
        <v>643.8583000000001</v>
      </c>
      <c r="I38" s="89">
        <f>'Kharif-2023'!P49</f>
        <v>3327</v>
      </c>
      <c r="J38" s="90">
        <v>45106</v>
      </c>
      <c r="K38" s="90">
        <v>45286</v>
      </c>
      <c r="L38" s="91">
        <f>'Kharif-2023'!M49</f>
        <v>6.9923011380000011</v>
      </c>
    </row>
    <row r="39" spans="1:12" ht="18">
      <c r="A39" s="88" t="s">
        <v>80</v>
      </c>
      <c r="B39" s="88" t="s">
        <v>56</v>
      </c>
      <c r="C39" s="88">
        <v>2023</v>
      </c>
      <c r="D39" s="88">
        <v>10860</v>
      </c>
      <c r="E39" s="88" t="s">
        <v>84</v>
      </c>
      <c r="F39" s="88">
        <f>'Kharif-2023'!D47</f>
        <v>3000</v>
      </c>
      <c r="G39" s="91">
        <f>'Kharif-2023'!Q47</f>
        <v>0</v>
      </c>
      <c r="H39" s="91">
        <f>'Kharif-2023'!L47</f>
        <v>85.906000000000006</v>
      </c>
      <c r="I39" s="89">
        <f>'Kharif-2023'!P49</f>
        <v>3327</v>
      </c>
      <c r="J39" s="90">
        <v>45108</v>
      </c>
      <c r="K39" s="90">
        <v>45290</v>
      </c>
      <c r="L39" s="91">
        <f>'Kharif-2023'!M47</f>
        <v>0.93293915999999999</v>
      </c>
    </row>
    <row r="40" spans="1:12">
      <c r="H40">
        <f>SUM(H2:H39)</f>
        <v>3944339.0005600005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O71"/>
  <sheetViews>
    <sheetView zoomScale="80" zoomScaleNormal="80" zoomScaleSheetLayoutView="85" workbookViewId="0">
      <selection activeCell="B2" sqref="B2:J63"/>
    </sheetView>
  </sheetViews>
  <sheetFormatPr defaultColWidth="9.140625" defaultRowHeight="15"/>
  <cols>
    <col min="1" max="1" width="9.140625" style="1"/>
    <col min="2" max="2" width="7" style="1" customWidth="1"/>
    <col min="3" max="3" width="16.140625" style="1" customWidth="1"/>
    <col min="4" max="4" width="20.85546875" style="1" customWidth="1"/>
    <col min="5" max="5" width="16.7109375" style="1" customWidth="1"/>
    <col min="6" max="6" width="16" style="1" customWidth="1"/>
    <col min="7" max="7" width="17.7109375" style="1" customWidth="1"/>
    <col min="8" max="8" width="14.140625" style="1" customWidth="1"/>
    <col min="9" max="9" width="29.85546875" style="1" customWidth="1"/>
    <col min="10" max="10" width="14.28515625" style="1" customWidth="1"/>
    <col min="11" max="11" width="17" style="1" customWidth="1"/>
    <col min="12" max="12" width="17" style="1" hidden="1" customWidth="1"/>
    <col min="13" max="13" width="18" style="1" customWidth="1"/>
    <col min="14" max="14" width="20.28515625" style="1" customWidth="1"/>
    <col min="15" max="15" width="10.5703125" style="1" bestFit="1" customWidth="1"/>
    <col min="16" max="16384" width="9.140625" style="1"/>
  </cols>
  <sheetData>
    <row r="1" spans="2:15" ht="19.5" customHeight="1">
      <c r="D1" s="9"/>
      <c r="E1" s="9"/>
      <c r="F1" s="9"/>
    </row>
    <row r="2" spans="2:15" ht="33" customHeight="1">
      <c r="B2" s="744" t="s">
        <v>173</v>
      </c>
      <c r="C2" s="744"/>
      <c r="D2" s="744"/>
      <c r="E2" s="744"/>
      <c r="F2" s="744"/>
      <c r="G2" s="744"/>
      <c r="H2" s="744"/>
      <c r="I2" s="744"/>
      <c r="J2" s="744"/>
      <c r="K2" s="364"/>
      <c r="L2" s="364"/>
    </row>
    <row r="3" spans="2:15" ht="24.75" customHeight="1" thickBot="1">
      <c r="B3" s="745" t="s">
        <v>181</v>
      </c>
      <c r="C3" s="745"/>
      <c r="H3" s="250"/>
      <c r="J3" s="268" t="s">
        <v>136</v>
      </c>
      <c r="K3" s="268"/>
      <c r="L3" s="268"/>
    </row>
    <row r="4" spans="2:15" ht="73.5" customHeight="1">
      <c r="B4" s="368" t="s">
        <v>132</v>
      </c>
      <c r="C4" s="362" t="s">
        <v>0</v>
      </c>
      <c r="D4" s="369" t="s">
        <v>1</v>
      </c>
      <c r="E4" s="362" t="s">
        <v>137</v>
      </c>
      <c r="F4" s="362" t="s">
        <v>131</v>
      </c>
      <c r="G4" s="362" t="s">
        <v>135</v>
      </c>
      <c r="H4" s="362" t="s">
        <v>24</v>
      </c>
      <c r="I4" s="362" t="s">
        <v>88</v>
      </c>
      <c r="J4" s="362" t="s">
        <v>138</v>
      </c>
      <c r="K4" s="381" t="s">
        <v>189</v>
      </c>
      <c r="L4" s="383" t="s">
        <v>190</v>
      </c>
    </row>
    <row r="5" spans="2:15" ht="27.2" customHeight="1">
      <c r="B5" s="748" t="s">
        <v>156</v>
      </c>
      <c r="C5" s="749"/>
      <c r="D5" s="276"/>
      <c r="E5" s="277"/>
      <c r="F5" s="278"/>
      <c r="G5" s="259"/>
      <c r="H5" s="255"/>
      <c r="I5" s="279"/>
      <c r="J5" s="278"/>
      <c r="K5" s="370"/>
      <c r="L5" s="384"/>
    </row>
    <row r="6" spans="2:15" ht="27.2" customHeight="1">
      <c r="B6" s="750">
        <v>1</v>
      </c>
      <c r="C6" s="741" t="s">
        <v>147</v>
      </c>
      <c r="D6" s="257" t="s">
        <v>101</v>
      </c>
      <c r="E6" s="254"/>
      <c r="F6" s="263">
        <f t="shared" ref="F6:F11" si="0">M6</f>
        <v>0</v>
      </c>
      <c r="G6" s="346">
        <v>3496.6</v>
      </c>
      <c r="H6" s="348">
        <v>1081</v>
      </c>
      <c r="I6" s="264"/>
      <c r="J6" s="263">
        <v>33.525491000000009</v>
      </c>
      <c r="K6" s="371"/>
      <c r="L6" s="385"/>
      <c r="M6" s="11">
        <f t="shared" ref="M6:M11" si="1">G6-N6</f>
        <v>0</v>
      </c>
      <c r="N6" s="346">
        <v>3496.6</v>
      </c>
    </row>
    <row r="7" spans="2:15" ht="27.2" customHeight="1">
      <c r="B7" s="751"/>
      <c r="C7" s="725"/>
      <c r="D7" s="257" t="s">
        <v>86</v>
      </c>
      <c r="E7" s="254"/>
      <c r="F7" s="263">
        <f t="shared" si="0"/>
        <v>0</v>
      </c>
      <c r="G7" s="347">
        <v>270.89999999999998</v>
      </c>
      <c r="H7" s="348">
        <v>100</v>
      </c>
      <c r="I7" s="264"/>
      <c r="J7" s="263">
        <v>2.7787296499999998</v>
      </c>
      <c r="K7" s="371"/>
      <c r="L7" s="385"/>
      <c r="M7" s="11">
        <f t="shared" si="1"/>
        <v>0</v>
      </c>
      <c r="N7" s="347">
        <v>270.89999999999998</v>
      </c>
    </row>
    <row r="8" spans="2:15" ht="27.2" customHeight="1">
      <c r="B8" s="751"/>
      <c r="C8" s="725"/>
      <c r="D8" s="257" t="s">
        <v>123</v>
      </c>
      <c r="E8" s="254"/>
      <c r="F8" s="263">
        <f t="shared" si="0"/>
        <v>0</v>
      </c>
      <c r="G8" s="347">
        <v>697.61400000000003</v>
      </c>
      <c r="H8" s="348">
        <v>622</v>
      </c>
      <c r="I8" s="264"/>
      <c r="J8" s="263">
        <v>7.0815288189999999</v>
      </c>
      <c r="K8" s="371"/>
      <c r="L8" s="385"/>
      <c r="M8" s="11">
        <f t="shared" si="1"/>
        <v>0</v>
      </c>
      <c r="N8" s="347">
        <v>697.61400000000003</v>
      </c>
    </row>
    <row r="9" spans="2:15" ht="27.2" customHeight="1">
      <c r="B9" s="751"/>
      <c r="C9" s="725"/>
      <c r="D9" s="257" t="s">
        <v>90</v>
      </c>
      <c r="E9" s="254"/>
      <c r="F9" s="263">
        <f t="shared" si="0"/>
        <v>0</v>
      </c>
      <c r="G9" s="347">
        <v>16740.149999999998</v>
      </c>
      <c r="H9" s="348">
        <v>5454</v>
      </c>
      <c r="I9" s="264"/>
      <c r="J9" s="263">
        <v>172.64158285279399</v>
      </c>
      <c r="K9" s="371"/>
      <c r="L9" s="385"/>
      <c r="M9" s="11">
        <f t="shared" si="1"/>
        <v>0</v>
      </c>
      <c r="N9" s="347">
        <v>16740.149999999998</v>
      </c>
    </row>
    <row r="10" spans="2:15" ht="27.2" customHeight="1">
      <c r="B10" s="751"/>
      <c r="C10" s="725"/>
      <c r="D10" s="257" t="s">
        <v>128</v>
      </c>
      <c r="E10" s="254"/>
      <c r="F10" s="263">
        <f t="shared" si="0"/>
        <v>0</v>
      </c>
      <c r="G10" s="347">
        <v>54.300000000000004</v>
      </c>
      <c r="H10" s="348">
        <v>52</v>
      </c>
      <c r="I10" s="264"/>
      <c r="J10" s="263">
        <v>0.54838897899999994</v>
      </c>
      <c r="K10" s="371"/>
      <c r="L10" s="385"/>
      <c r="M10" s="11">
        <f t="shared" si="1"/>
        <v>0</v>
      </c>
      <c r="N10" s="347">
        <v>54.300000000000004</v>
      </c>
    </row>
    <row r="11" spans="2:15" ht="27.2" customHeight="1">
      <c r="B11" s="752"/>
      <c r="C11" s="753"/>
      <c r="D11" s="257" t="s">
        <v>151</v>
      </c>
      <c r="E11" s="254"/>
      <c r="F11" s="263">
        <f t="shared" si="0"/>
        <v>0</v>
      </c>
      <c r="G11" s="347">
        <v>374.2</v>
      </c>
      <c r="H11" s="349">
        <v>99</v>
      </c>
      <c r="I11" s="264"/>
      <c r="J11" s="263">
        <v>3.7190511434999998</v>
      </c>
      <c r="K11" s="372"/>
      <c r="L11" s="385"/>
      <c r="M11" s="11">
        <f t="shared" si="1"/>
        <v>0</v>
      </c>
      <c r="N11" s="347">
        <v>374.2</v>
      </c>
    </row>
    <row r="12" spans="2:15" ht="27.2" customHeight="1" thickBot="1">
      <c r="B12" s="373"/>
      <c r="C12" s="374"/>
      <c r="D12" s="375" t="s">
        <v>6</v>
      </c>
      <c r="E12" s="376"/>
      <c r="F12" s="377">
        <f>SUM(F6:F11)</f>
        <v>0</v>
      </c>
      <c r="G12" s="377">
        <f>SUM(G6:G11)</f>
        <v>21633.763999999996</v>
      </c>
      <c r="H12" s="376">
        <f>SUM(H6:H11)</f>
        <v>7408</v>
      </c>
      <c r="I12" s="378"/>
      <c r="J12" s="379">
        <f>SUM(J6:J11)</f>
        <v>220.29477244429401</v>
      </c>
      <c r="K12" s="380"/>
      <c r="L12" s="386"/>
      <c r="M12" s="295">
        <f>SUM(M6:M11)</f>
        <v>0</v>
      </c>
      <c r="N12" s="11">
        <f>SUM(N6:N10)</f>
        <v>21259.563999999995</v>
      </c>
    </row>
    <row r="13" spans="2:15" ht="15.75" customHeight="1">
      <c r="B13" s="357"/>
      <c r="C13" s="366"/>
      <c r="D13" s="367"/>
      <c r="E13" s="363"/>
      <c r="F13" s="363"/>
      <c r="G13" s="363"/>
      <c r="H13" s="363"/>
      <c r="I13" s="363"/>
      <c r="J13" s="363"/>
      <c r="K13" s="363"/>
      <c r="L13" s="6"/>
    </row>
    <row r="14" spans="2:15" ht="20.85" customHeight="1" thickBot="1">
      <c r="B14" s="746" t="s">
        <v>154</v>
      </c>
      <c r="C14" s="747"/>
      <c r="D14" s="276"/>
      <c r="E14" s="277"/>
      <c r="F14" s="278"/>
      <c r="G14" s="278"/>
      <c r="H14" s="277"/>
      <c r="I14" s="279"/>
      <c r="J14" s="278"/>
      <c r="K14" s="277"/>
      <c r="L14" s="384"/>
    </row>
    <row r="15" spans="2:15" ht="27" customHeight="1">
      <c r="B15" s="743">
        <v>1</v>
      </c>
      <c r="C15" s="742" t="s">
        <v>175</v>
      </c>
      <c r="D15" s="301" t="s">
        <v>151</v>
      </c>
      <c r="E15" s="253">
        <v>773635</v>
      </c>
      <c r="F15" s="190">
        <f t="shared" ref="F15:F21" si="2">M15</f>
        <v>1446.7299999999996</v>
      </c>
      <c r="G15" s="190">
        <v>2019.2799999999997</v>
      </c>
      <c r="H15" s="253">
        <v>1446.7299999999998</v>
      </c>
      <c r="I15" s="314" t="s">
        <v>167</v>
      </c>
      <c r="J15" s="326">
        <f>G15*5440/1000000</f>
        <v>10.984883199999999</v>
      </c>
      <c r="K15" s="253" t="s">
        <v>182</v>
      </c>
      <c r="L15" s="387"/>
      <c r="M15" s="359">
        <f t="shared" ref="M15:M21" si="3">G15-N15</f>
        <v>1446.7299999999996</v>
      </c>
      <c r="N15" s="190">
        <v>572.55000000000007</v>
      </c>
      <c r="O15" s="149"/>
    </row>
    <row r="16" spans="2:15" ht="23.25" customHeight="1">
      <c r="B16" s="736"/>
      <c r="C16" s="727"/>
      <c r="D16" s="301" t="s">
        <v>90</v>
      </c>
      <c r="E16" s="253">
        <v>324530</v>
      </c>
      <c r="F16" s="190">
        <f t="shared" si="2"/>
        <v>4.75</v>
      </c>
      <c r="G16" s="190">
        <v>123.9</v>
      </c>
      <c r="H16" s="253">
        <v>72</v>
      </c>
      <c r="I16" s="314" t="s">
        <v>166</v>
      </c>
      <c r="J16" s="326">
        <f>G16*5450/1000000</f>
        <v>0.67525500000000005</v>
      </c>
      <c r="K16" s="253" t="s">
        <v>183</v>
      </c>
      <c r="L16" s="387"/>
      <c r="M16" s="359">
        <f t="shared" si="3"/>
        <v>4.75</v>
      </c>
      <c r="N16" s="190">
        <v>119.15</v>
      </c>
      <c r="O16" s="149"/>
    </row>
    <row r="17" spans="2:15" ht="30" customHeight="1">
      <c r="B17" s="736"/>
      <c r="C17" s="727"/>
      <c r="D17" s="301" t="s">
        <v>119</v>
      </c>
      <c r="E17" s="253">
        <v>224485</v>
      </c>
      <c r="F17" s="190">
        <f t="shared" si="2"/>
        <v>0</v>
      </c>
      <c r="G17" s="190">
        <v>0</v>
      </c>
      <c r="H17" s="253">
        <v>0</v>
      </c>
      <c r="I17" s="314" t="s">
        <v>166</v>
      </c>
      <c r="J17" s="326"/>
      <c r="K17" s="253" t="s">
        <v>184</v>
      </c>
      <c r="L17" s="387"/>
      <c r="M17" s="359">
        <f t="shared" si="3"/>
        <v>0</v>
      </c>
      <c r="N17" s="190">
        <v>0</v>
      </c>
      <c r="O17" s="149"/>
    </row>
    <row r="18" spans="2:15" ht="30" customHeight="1">
      <c r="B18" s="736"/>
      <c r="C18" s="727"/>
      <c r="D18" s="257" t="s">
        <v>86</v>
      </c>
      <c r="E18" s="254">
        <v>139740</v>
      </c>
      <c r="F18" s="190">
        <f>M18</f>
        <v>0</v>
      </c>
      <c r="G18" s="190"/>
      <c r="H18" s="253"/>
      <c r="I18" s="344" t="s">
        <v>21</v>
      </c>
      <c r="J18" s="326"/>
      <c r="K18" s="253" t="s">
        <v>185</v>
      </c>
      <c r="L18" s="387"/>
      <c r="M18" s="359">
        <f t="shared" si="3"/>
        <v>0</v>
      </c>
      <c r="N18" s="190"/>
      <c r="O18" s="149"/>
    </row>
    <row r="19" spans="2:15" ht="30" customHeight="1">
      <c r="B19" s="736"/>
      <c r="C19" s="727"/>
      <c r="D19" s="257" t="s">
        <v>127</v>
      </c>
      <c r="E19" s="254">
        <v>666750</v>
      </c>
      <c r="F19" s="190">
        <f t="shared" si="2"/>
        <v>0</v>
      </c>
      <c r="G19" s="190"/>
      <c r="H19" s="253"/>
      <c r="I19" s="344" t="s">
        <v>21</v>
      </c>
      <c r="J19" s="326"/>
      <c r="K19" s="253" t="s">
        <v>186</v>
      </c>
      <c r="L19" s="387"/>
      <c r="M19" s="359">
        <f t="shared" si="3"/>
        <v>0</v>
      </c>
      <c r="N19" s="190"/>
      <c r="O19" s="149"/>
    </row>
    <row r="20" spans="2:15" ht="39.75" customHeight="1">
      <c r="B20" s="736"/>
      <c r="C20" s="727"/>
      <c r="D20" s="301" t="s">
        <v>126</v>
      </c>
      <c r="E20" s="253">
        <v>452365</v>
      </c>
      <c r="F20" s="190">
        <f t="shared" si="2"/>
        <v>106.79999999999995</v>
      </c>
      <c r="G20" s="190">
        <v>666.65</v>
      </c>
      <c r="H20" s="253">
        <v>319</v>
      </c>
      <c r="I20" s="314" t="s">
        <v>170</v>
      </c>
      <c r="J20" s="263"/>
      <c r="K20" s="253">
        <v>5800</v>
      </c>
      <c r="L20" s="387"/>
      <c r="M20" s="359">
        <f t="shared" si="3"/>
        <v>106.79999999999995</v>
      </c>
      <c r="N20" s="190">
        <v>559.85</v>
      </c>
      <c r="O20" s="149"/>
    </row>
    <row r="21" spans="2:15" ht="30" customHeight="1">
      <c r="B21" s="736"/>
      <c r="C21" s="727"/>
      <c r="D21" s="301" t="s">
        <v>123</v>
      </c>
      <c r="E21" s="253">
        <v>58015</v>
      </c>
      <c r="F21" s="190">
        <f t="shared" si="2"/>
        <v>148.5</v>
      </c>
      <c r="G21" s="190">
        <v>302.55</v>
      </c>
      <c r="H21" s="253">
        <v>195</v>
      </c>
      <c r="I21" s="314" t="s">
        <v>165</v>
      </c>
      <c r="J21" s="326">
        <f>G21*5450/1000000</f>
        <v>1.6488974999999999</v>
      </c>
      <c r="K21" s="253" t="s">
        <v>187</v>
      </c>
      <c r="L21" s="387"/>
      <c r="M21" s="359">
        <f t="shared" si="3"/>
        <v>148.5</v>
      </c>
      <c r="N21" s="190">
        <v>154.05000000000001</v>
      </c>
      <c r="O21" s="149"/>
    </row>
    <row r="22" spans="2:15" ht="30" customHeight="1">
      <c r="B22" s="736"/>
      <c r="C22" s="727"/>
      <c r="D22" s="257" t="s">
        <v>101</v>
      </c>
      <c r="E22" s="254">
        <v>114163</v>
      </c>
      <c r="F22" s="263"/>
      <c r="G22" s="190"/>
      <c r="H22" s="253"/>
      <c r="I22" s="344" t="s">
        <v>21</v>
      </c>
      <c r="J22" s="326"/>
      <c r="K22" s="253"/>
      <c r="L22" s="387"/>
      <c r="M22" s="149"/>
      <c r="N22" s="190"/>
      <c r="O22" s="149"/>
    </row>
    <row r="23" spans="2:15" ht="30" customHeight="1">
      <c r="B23" s="736"/>
      <c r="C23" s="727"/>
      <c r="D23" s="317" t="s">
        <v>110</v>
      </c>
      <c r="E23" s="318">
        <v>6580</v>
      </c>
      <c r="F23" s="319"/>
      <c r="G23" s="320"/>
      <c r="H23" s="321"/>
      <c r="I23" s="322" t="s">
        <v>168</v>
      </c>
      <c r="J23" s="327"/>
      <c r="K23" s="321"/>
      <c r="L23" s="387"/>
      <c r="M23" s="149"/>
      <c r="N23" s="320"/>
      <c r="O23" s="149"/>
    </row>
    <row r="24" spans="2:15" ht="30" customHeight="1" thickBot="1">
      <c r="B24" s="328"/>
      <c r="C24" s="329"/>
      <c r="D24" s="330" t="s">
        <v>6</v>
      </c>
      <c r="E24" s="331">
        <f>SUM(E15:E23)</f>
        <v>2760263</v>
      </c>
      <c r="F24" s="332">
        <f>SUM(F15:F23)</f>
        <v>1706.7799999999995</v>
      </c>
      <c r="G24" s="332">
        <f>SUM(G15:G23)</f>
        <v>3112.38</v>
      </c>
      <c r="H24" s="331">
        <f>SUM(H15:H23)</f>
        <v>2032.7299999999998</v>
      </c>
      <c r="I24" s="333"/>
      <c r="J24" s="334">
        <f>SUM(J15:J23)</f>
        <v>13.309035699999999</v>
      </c>
      <c r="K24" s="331"/>
      <c r="L24" s="388"/>
      <c r="M24" s="149"/>
      <c r="N24" s="149"/>
      <c r="O24" s="149"/>
    </row>
    <row r="25" spans="2:15" ht="30" customHeight="1">
      <c r="B25" s="736">
        <v>2</v>
      </c>
      <c r="C25" s="727" t="s">
        <v>152</v>
      </c>
      <c r="D25" s="301" t="s">
        <v>151</v>
      </c>
      <c r="E25" s="253">
        <v>636010</v>
      </c>
      <c r="F25" s="190">
        <f>M25</f>
        <v>813.69999999999993</v>
      </c>
      <c r="G25" s="190">
        <v>1004.0999999999999</v>
      </c>
      <c r="H25" s="253">
        <v>741</v>
      </c>
      <c r="I25" s="314" t="s">
        <v>167</v>
      </c>
      <c r="J25" s="325">
        <f>G25*6425/1000000</f>
        <v>6.4513424999999991</v>
      </c>
      <c r="K25" s="253"/>
      <c r="L25" s="387"/>
      <c r="M25" s="359">
        <f>G25-N25</f>
        <v>813.69999999999993</v>
      </c>
      <c r="N25" s="190">
        <v>190.39999999999998</v>
      </c>
      <c r="O25" s="149"/>
    </row>
    <row r="26" spans="2:15" ht="30" customHeight="1">
      <c r="B26" s="736"/>
      <c r="C26" s="727"/>
      <c r="D26" s="301" t="s">
        <v>119</v>
      </c>
      <c r="E26" s="253">
        <v>516800</v>
      </c>
      <c r="F26" s="190">
        <f>M26</f>
        <v>5.33</v>
      </c>
      <c r="G26" s="190">
        <v>6.33</v>
      </c>
      <c r="H26" s="253">
        <v>6</v>
      </c>
      <c r="I26" s="314" t="s">
        <v>166</v>
      </c>
      <c r="J26" s="325">
        <f>G26*6425/1000000</f>
        <v>4.0670249999999998E-2</v>
      </c>
      <c r="K26" s="253"/>
      <c r="L26" s="387"/>
      <c r="M26" s="359">
        <f>G26-N26</f>
        <v>5.33</v>
      </c>
      <c r="N26" s="190">
        <v>1</v>
      </c>
      <c r="O26" s="149"/>
    </row>
    <row r="27" spans="2:15" ht="30" customHeight="1">
      <c r="B27" s="730"/>
      <c r="C27" s="728"/>
      <c r="D27" s="306" t="s">
        <v>6</v>
      </c>
      <c r="E27" s="307">
        <f>SUM(E25:E26)</f>
        <v>1152810</v>
      </c>
      <c r="F27" s="308">
        <f>SUM(F25:F25)</f>
        <v>813.69999999999993</v>
      </c>
      <c r="G27" s="308">
        <f>SUM(G25:G25)</f>
        <v>1004.0999999999999</v>
      </c>
      <c r="H27" s="307">
        <f>SUM(H25:H25)</f>
        <v>741</v>
      </c>
      <c r="I27" s="309"/>
      <c r="J27" s="308">
        <f>SUM(J25:J26)</f>
        <v>6.4920127499999989</v>
      </c>
      <c r="K27" s="307"/>
      <c r="L27" s="388"/>
      <c r="M27" s="149"/>
      <c r="N27" s="149"/>
      <c r="O27" s="149"/>
    </row>
    <row r="28" spans="2:15" ht="30" customHeight="1">
      <c r="B28" s="729">
        <v>3</v>
      </c>
      <c r="C28" s="726" t="s">
        <v>160</v>
      </c>
      <c r="D28" s="257" t="s">
        <v>101</v>
      </c>
      <c r="E28" s="253">
        <v>17505</v>
      </c>
      <c r="F28" s="190">
        <f>M28</f>
        <v>0</v>
      </c>
      <c r="G28" s="190">
        <v>0</v>
      </c>
      <c r="H28" s="253">
        <v>0</v>
      </c>
      <c r="I28" s="344" t="s">
        <v>21</v>
      </c>
      <c r="J28" s="263">
        <f>G28*6425/1000000</f>
        <v>0</v>
      </c>
      <c r="K28" s="253"/>
      <c r="L28" s="387"/>
      <c r="M28" s="149"/>
      <c r="N28" s="149"/>
      <c r="O28" s="149"/>
    </row>
    <row r="29" spans="2:15" ht="30" customHeight="1">
      <c r="B29" s="736"/>
      <c r="C29" s="727"/>
      <c r="D29" s="257" t="s">
        <v>33</v>
      </c>
      <c r="E29" s="253">
        <v>1860</v>
      </c>
      <c r="F29" s="190"/>
      <c r="G29" s="190"/>
      <c r="H29" s="253"/>
      <c r="I29" s="265"/>
      <c r="J29" s="263"/>
      <c r="K29" s="253"/>
      <c r="L29" s="387"/>
      <c r="M29" s="149"/>
      <c r="N29" s="149"/>
      <c r="O29" s="149"/>
    </row>
    <row r="30" spans="2:15" ht="30" customHeight="1">
      <c r="B30" s="730"/>
      <c r="C30" s="728"/>
      <c r="D30" s="306" t="s">
        <v>6</v>
      </c>
      <c r="E30" s="307">
        <f>SUM(E28:E29)</f>
        <v>19365</v>
      </c>
      <c r="F30" s="308">
        <f>SUM(F28:F28)</f>
        <v>0</v>
      </c>
      <c r="G30" s="308">
        <f>SUM(G28:G28)</f>
        <v>0</v>
      </c>
      <c r="H30" s="307">
        <f>SUM(H28:H28)</f>
        <v>0</v>
      </c>
      <c r="I30" s="309"/>
      <c r="J30" s="308">
        <f>SUM(J28)</f>
        <v>0</v>
      </c>
      <c r="K30" s="307"/>
      <c r="L30" s="388"/>
      <c r="M30" s="149"/>
      <c r="N30" s="149"/>
      <c r="O30" s="149"/>
    </row>
    <row r="31" spans="2:15" ht="30" customHeight="1">
      <c r="B31" s="729">
        <v>4</v>
      </c>
      <c r="C31" s="726" t="s">
        <v>161</v>
      </c>
      <c r="D31" s="257" t="s">
        <v>101</v>
      </c>
      <c r="E31" s="253">
        <v>401610</v>
      </c>
      <c r="F31" s="190">
        <f>M31</f>
        <v>0</v>
      </c>
      <c r="G31" s="190">
        <v>0</v>
      </c>
      <c r="H31" s="253">
        <v>0</v>
      </c>
      <c r="I31" s="344" t="s">
        <v>21</v>
      </c>
      <c r="J31" s="263">
        <f>G31*6425/1000000</f>
        <v>0</v>
      </c>
      <c r="K31" s="253"/>
      <c r="L31" s="387"/>
      <c r="M31" s="149"/>
      <c r="N31" s="149"/>
      <c r="O31" s="149"/>
    </row>
    <row r="32" spans="2:15" ht="30" customHeight="1">
      <c r="B32" s="736"/>
      <c r="C32" s="727"/>
      <c r="D32" s="257" t="s">
        <v>33</v>
      </c>
      <c r="E32" s="253">
        <v>142780</v>
      </c>
      <c r="F32" s="190"/>
      <c r="G32" s="190"/>
      <c r="H32" s="253"/>
      <c r="I32" s="344" t="s">
        <v>21</v>
      </c>
      <c r="J32" s="263"/>
      <c r="K32" s="253"/>
      <c r="L32" s="387"/>
      <c r="M32" s="149"/>
      <c r="N32" s="149"/>
      <c r="O32" s="149"/>
    </row>
    <row r="33" spans="2:15" ht="30" customHeight="1">
      <c r="B33" s="736"/>
      <c r="C33" s="727"/>
      <c r="D33" s="257" t="s">
        <v>123</v>
      </c>
      <c r="E33" s="253">
        <v>18070</v>
      </c>
      <c r="F33" s="190"/>
      <c r="G33" s="190"/>
      <c r="H33" s="253"/>
      <c r="I33" s="344" t="s">
        <v>21</v>
      </c>
      <c r="J33" s="263"/>
      <c r="K33" s="253"/>
      <c r="L33" s="387"/>
      <c r="M33" s="149"/>
      <c r="N33" s="149"/>
      <c r="O33" s="149"/>
    </row>
    <row r="34" spans="2:15" ht="30" customHeight="1">
      <c r="B34" s="730"/>
      <c r="C34" s="728"/>
      <c r="D34" s="306" t="s">
        <v>6</v>
      </c>
      <c r="E34" s="307">
        <f>SUM(E31:E33)</f>
        <v>562460</v>
      </c>
      <c r="F34" s="308">
        <f>SUM(F31:F31)</f>
        <v>0</v>
      </c>
      <c r="G34" s="308">
        <f>SUM(G31:G31)</f>
        <v>0</v>
      </c>
      <c r="H34" s="307">
        <f>SUM(H31:H31)</f>
        <v>0</v>
      </c>
      <c r="I34" s="309"/>
      <c r="J34" s="308">
        <f>SUM(J31)</f>
        <v>0</v>
      </c>
      <c r="K34" s="307"/>
      <c r="L34" s="388"/>
      <c r="M34" s="149"/>
      <c r="N34" s="149"/>
      <c r="O34" s="149"/>
    </row>
    <row r="35" spans="2:15" ht="30" customHeight="1">
      <c r="B35" s="729">
        <v>5</v>
      </c>
      <c r="C35" s="738" t="s">
        <v>153</v>
      </c>
      <c r="D35" s="301" t="s">
        <v>151</v>
      </c>
      <c r="E35" s="253">
        <v>416288</v>
      </c>
      <c r="F35" s="190">
        <f t="shared" ref="F35:F40" si="4">M35</f>
        <v>1207.8000000000002</v>
      </c>
      <c r="G35" s="190">
        <v>1706.6000000000001</v>
      </c>
      <c r="H35" s="253">
        <v>900</v>
      </c>
      <c r="I35" s="314" t="s">
        <v>167</v>
      </c>
      <c r="J35" s="263">
        <f t="shared" ref="J35:J40" si="5">G35*5650/1000000</f>
        <v>9.6422899999999991</v>
      </c>
      <c r="K35" s="253"/>
      <c r="L35" s="387"/>
      <c r="M35" s="359">
        <f t="shared" ref="M35:M40" si="6">G35-N35</f>
        <v>1207.8000000000002</v>
      </c>
      <c r="N35" s="190">
        <v>498.79999999999995</v>
      </c>
      <c r="O35" s="149"/>
    </row>
    <row r="36" spans="2:15" ht="30" customHeight="1">
      <c r="B36" s="736"/>
      <c r="C36" s="739"/>
      <c r="D36" s="301" t="s">
        <v>119</v>
      </c>
      <c r="E36" s="253">
        <v>436588</v>
      </c>
      <c r="F36" s="190">
        <f t="shared" si="4"/>
        <v>0.5</v>
      </c>
      <c r="G36" s="190">
        <v>57.7</v>
      </c>
      <c r="H36" s="253">
        <v>37</v>
      </c>
      <c r="I36" s="314" t="s">
        <v>166</v>
      </c>
      <c r="J36" s="263">
        <f t="shared" si="5"/>
        <v>0.32600499999999999</v>
      </c>
      <c r="K36" s="253">
        <v>5000</v>
      </c>
      <c r="L36" s="387"/>
      <c r="M36" s="359">
        <f t="shared" si="6"/>
        <v>0.5</v>
      </c>
      <c r="N36" s="190">
        <v>57.2</v>
      </c>
      <c r="O36" s="149"/>
    </row>
    <row r="37" spans="2:15" ht="30" customHeight="1">
      <c r="B37" s="736"/>
      <c r="C37" s="739"/>
      <c r="D37" s="301" t="s">
        <v>90</v>
      </c>
      <c r="E37" s="253">
        <v>150905</v>
      </c>
      <c r="F37" s="190">
        <f t="shared" si="4"/>
        <v>337</v>
      </c>
      <c r="G37" s="190">
        <v>5859.5432999999994</v>
      </c>
      <c r="H37" s="253">
        <v>2872</v>
      </c>
      <c r="I37" s="314" t="s">
        <v>166</v>
      </c>
      <c r="J37" s="263">
        <f t="shared" si="5"/>
        <v>33.106419644999995</v>
      </c>
      <c r="K37" s="253"/>
      <c r="L37" s="387"/>
      <c r="M37" s="359">
        <f t="shared" si="6"/>
        <v>337</v>
      </c>
      <c r="N37" s="190">
        <v>5522.5432999999994</v>
      </c>
      <c r="O37" s="149"/>
    </row>
    <row r="38" spans="2:15" ht="30" customHeight="1">
      <c r="B38" s="736"/>
      <c r="C38" s="739"/>
      <c r="D38" s="301" t="s">
        <v>110</v>
      </c>
      <c r="E38" s="253">
        <v>325375</v>
      </c>
      <c r="F38" s="190">
        <f t="shared" si="4"/>
        <v>33451.570000000029</v>
      </c>
      <c r="G38" s="190">
        <v>93084.35000000002</v>
      </c>
      <c r="H38" s="253">
        <v>47413</v>
      </c>
      <c r="I38" s="314" t="s">
        <v>169</v>
      </c>
      <c r="J38" s="263">
        <f t="shared" si="5"/>
        <v>525.92657750000012</v>
      </c>
      <c r="K38" s="253"/>
      <c r="L38" s="387"/>
      <c r="M38" s="359">
        <f t="shared" si="6"/>
        <v>33451.570000000029</v>
      </c>
      <c r="N38" s="190">
        <v>59632.779999999992</v>
      </c>
      <c r="O38" s="149"/>
    </row>
    <row r="39" spans="2:15" ht="39.75" customHeight="1">
      <c r="B39" s="736"/>
      <c r="C39" s="739"/>
      <c r="D39" s="301" t="s">
        <v>126</v>
      </c>
      <c r="E39" s="253">
        <v>1458118</v>
      </c>
      <c r="F39" s="190">
        <f t="shared" si="4"/>
        <v>1287.1019999999999</v>
      </c>
      <c r="G39" s="190">
        <v>7509.2420000000002</v>
      </c>
      <c r="H39" s="253">
        <v>3389</v>
      </c>
      <c r="I39" s="314" t="s">
        <v>170</v>
      </c>
      <c r="J39" s="263">
        <f t="shared" si="5"/>
        <v>42.427217300000002</v>
      </c>
      <c r="K39" s="253" t="s">
        <v>188</v>
      </c>
      <c r="L39" s="387"/>
      <c r="M39" s="359">
        <f t="shared" si="6"/>
        <v>1287.1019999999999</v>
      </c>
      <c r="N39" s="190">
        <v>6222.14</v>
      </c>
      <c r="O39" s="149"/>
    </row>
    <row r="40" spans="2:15" ht="29.25" customHeight="1">
      <c r="B40" s="736"/>
      <c r="C40" s="739"/>
      <c r="D40" s="301" t="s">
        <v>159</v>
      </c>
      <c r="E40" s="253">
        <v>58313</v>
      </c>
      <c r="F40" s="190">
        <f t="shared" si="4"/>
        <v>43.5</v>
      </c>
      <c r="G40" s="190">
        <v>80.05</v>
      </c>
      <c r="H40" s="253">
        <v>43</v>
      </c>
      <c r="I40" s="314" t="s">
        <v>171</v>
      </c>
      <c r="J40" s="263">
        <f t="shared" si="5"/>
        <v>0.45228249999999998</v>
      </c>
      <c r="K40" s="253"/>
      <c r="L40" s="387"/>
      <c r="M40" s="359">
        <f t="shared" si="6"/>
        <v>43.5</v>
      </c>
      <c r="N40" s="190">
        <v>36.549999999999997</v>
      </c>
      <c r="O40" s="149"/>
    </row>
    <row r="41" spans="2:15" ht="30" customHeight="1">
      <c r="B41" s="737"/>
      <c r="C41" s="740"/>
      <c r="D41" s="306" t="s">
        <v>6</v>
      </c>
      <c r="E41" s="307">
        <f>SUM(E35:E40)</f>
        <v>2845587</v>
      </c>
      <c r="F41" s="308">
        <f>SUM(F35:F40)</f>
        <v>36327.472000000031</v>
      </c>
      <c r="G41" s="308">
        <f>SUM(G35:G40)</f>
        <v>108297.48530000001</v>
      </c>
      <c r="H41" s="307">
        <f>SUM(H35:H40)</f>
        <v>54654</v>
      </c>
      <c r="I41" s="309"/>
      <c r="J41" s="308">
        <f>SUM(J35:J40)</f>
        <v>611.88079194500017</v>
      </c>
      <c r="K41" s="307"/>
      <c r="L41" s="388"/>
      <c r="M41" s="149"/>
      <c r="N41" s="149"/>
      <c r="O41" s="149"/>
    </row>
    <row r="42" spans="2:15" ht="30" customHeight="1">
      <c r="B42" s="729">
        <v>6</v>
      </c>
      <c r="C42" s="726" t="s">
        <v>162</v>
      </c>
      <c r="D42" s="257" t="s">
        <v>101</v>
      </c>
      <c r="E42" s="253">
        <v>46463</v>
      </c>
      <c r="F42" s="190"/>
      <c r="G42" s="190"/>
      <c r="H42" s="253"/>
      <c r="I42" s="344" t="s">
        <v>21</v>
      </c>
      <c r="J42" s="263"/>
      <c r="K42" s="253"/>
      <c r="L42" s="387"/>
      <c r="M42" s="149"/>
      <c r="N42" s="149"/>
      <c r="O42" s="149"/>
    </row>
    <row r="43" spans="2:15" ht="30" customHeight="1">
      <c r="B43" s="730"/>
      <c r="C43" s="728"/>
      <c r="D43" s="306" t="s">
        <v>6</v>
      </c>
      <c r="E43" s="307">
        <f>SUM(E42)</f>
        <v>46463</v>
      </c>
      <c r="F43" s="308">
        <f>SUM(F42)</f>
        <v>0</v>
      </c>
      <c r="G43" s="308">
        <f>SUM(G42)</f>
        <v>0</v>
      </c>
      <c r="H43" s="307">
        <f>SUM(H42)</f>
        <v>0</v>
      </c>
      <c r="I43" s="309"/>
      <c r="J43" s="308">
        <f>SUM(J42)</f>
        <v>0</v>
      </c>
      <c r="K43" s="307"/>
      <c r="L43" s="388"/>
      <c r="M43" s="149"/>
      <c r="N43" s="149"/>
      <c r="O43" s="149"/>
    </row>
    <row r="44" spans="2:15" ht="51" customHeight="1">
      <c r="B44" s="335">
        <v>7</v>
      </c>
      <c r="C44" s="365" t="s">
        <v>164</v>
      </c>
      <c r="D44" s="301" t="s">
        <v>123</v>
      </c>
      <c r="E44" s="253">
        <v>3730</v>
      </c>
      <c r="F44" s="190">
        <f>M44</f>
        <v>154.00000000000045</v>
      </c>
      <c r="G44" s="190">
        <v>2825.1000000000004</v>
      </c>
      <c r="H44" s="253">
        <v>2219</v>
      </c>
      <c r="I44" s="305" t="s">
        <v>165</v>
      </c>
      <c r="J44" s="263">
        <f>G44*6760/1000000</f>
        <v>19.097676000000003</v>
      </c>
      <c r="K44" s="253"/>
      <c r="L44" s="387"/>
      <c r="M44" s="359">
        <f>G44-N44</f>
        <v>154.00000000000045</v>
      </c>
      <c r="N44" s="190">
        <v>2671.1</v>
      </c>
      <c r="O44" s="149"/>
    </row>
    <row r="45" spans="2:15" ht="30" customHeight="1">
      <c r="B45" s="303"/>
      <c r="C45" s="302"/>
      <c r="D45" s="306" t="s">
        <v>6</v>
      </c>
      <c r="E45" s="307">
        <f t="shared" ref="E45:J45" si="7">SUM(E44)</f>
        <v>3730</v>
      </c>
      <c r="F45" s="308">
        <f t="shared" si="7"/>
        <v>154.00000000000045</v>
      </c>
      <c r="G45" s="308">
        <f t="shared" si="7"/>
        <v>2825.1000000000004</v>
      </c>
      <c r="H45" s="307">
        <f t="shared" si="7"/>
        <v>2219</v>
      </c>
      <c r="I45" s="309"/>
      <c r="J45" s="308">
        <f t="shared" si="7"/>
        <v>19.097676000000003</v>
      </c>
      <c r="K45" s="307"/>
      <c r="L45" s="388"/>
      <c r="M45" s="149"/>
      <c r="N45" s="149"/>
      <c r="O45" s="149"/>
    </row>
    <row r="46" spans="2:15" ht="30" customHeight="1">
      <c r="B46" s="311"/>
      <c r="C46" s="312"/>
      <c r="D46" s="256" t="s">
        <v>5</v>
      </c>
      <c r="E46" s="255">
        <f>E45+E43+E41+E34+E30+E27+E24</f>
        <v>7390678</v>
      </c>
      <c r="F46" s="259">
        <f>F45+F43+F41+F34+F30+F27+F24</f>
        <v>39001.952000000027</v>
      </c>
      <c r="G46" s="259">
        <f>G45+G43+G41+G34+G30+G27+G24</f>
        <v>115239.06530000003</v>
      </c>
      <c r="H46" s="255">
        <f>H45+H43+H41+H34+H30+H27+H24</f>
        <v>59646.73</v>
      </c>
      <c r="I46" s="310"/>
      <c r="J46" s="259">
        <f>J45+J43+J41+J34+J30+J27+J24</f>
        <v>650.77951639500009</v>
      </c>
      <c r="K46" s="255"/>
      <c r="L46" s="384"/>
      <c r="M46" s="149"/>
      <c r="N46" s="149"/>
      <c r="O46" s="149"/>
    </row>
    <row r="47" spans="2:15" ht="30" customHeight="1">
      <c r="B47" s="731" t="s">
        <v>148</v>
      </c>
      <c r="C47" s="732"/>
      <c r="D47" s="733"/>
      <c r="E47" s="253"/>
      <c r="F47" s="253"/>
      <c r="G47" s="163"/>
      <c r="H47" s="253"/>
      <c r="I47" s="315"/>
      <c r="J47" s="253"/>
      <c r="K47" s="253"/>
      <c r="L47" s="387"/>
      <c r="M47" s="149"/>
      <c r="N47" s="149"/>
      <c r="O47" s="149"/>
    </row>
    <row r="48" spans="2:15" ht="35.25" customHeight="1">
      <c r="B48" s="734">
        <v>1</v>
      </c>
      <c r="C48" s="741" t="s">
        <v>149</v>
      </c>
      <c r="D48" s="301" t="s">
        <v>86</v>
      </c>
      <c r="E48" s="253">
        <v>62500</v>
      </c>
      <c r="F48" s="190">
        <f>M48</f>
        <v>286.5</v>
      </c>
      <c r="G48" s="190">
        <v>457.29500000000002</v>
      </c>
      <c r="H48" s="253">
        <v>375</v>
      </c>
      <c r="I48" s="314" t="s">
        <v>176</v>
      </c>
      <c r="J48" s="263">
        <f>G48*12000/1000000</f>
        <v>5.4875400000000001</v>
      </c>
      <c r="K48" s="253"/>
      <c r="L48" s="387"/>
      <c r="M48" s="359">
        <f>G48-N48</f>
        <v>286.5</v>
      </c>
      <c r="N48" s="190">
        <v>170.79500000000004</v>
      </c>
      <c r="O48" s="149"/>
    </row>
    <row r="49" spans="2:15" ht="35.25" customHeight="1">
      <c r="B49" s="735"/>
      <c r="C49" s="725"/>
      <c r="D49" s="317" t="s">
        <v>33</v>
      </c>
      <c r="E49" s="321">
        <v>2000</v>
      </c>
      <c r="F49" s="318"/>
      <c r="G49" s="336"/>
      <c r="H49" s="321"/>
      <c r="I49" s="313" t="s">
        <v>177</v>
      </c>
      <c r="J49" s="319"/>
      <c r="K49" s="321"/>
      <c r="L49" s="387"/>
      <c r="M49" s="359"/>
      <c r="N49" s="298"/>
      <c r="O49" s="149"/>
    </row>
    <row r="50" spans="2:15" ht="35.25" customHeight="1">
      <c r="B50" s="251"/>
      <c r="C50" s="286"/>
      <c r="D50" s="306" t="s">
        <v>6</v>
      </c>
      <c r="E50" s="307">
        <f>SUM(E48:E49)</f>
        <v>64500</v>
      </c>
      <c r="F50" s="308"/>
      <c r="G50" s="308"/>
      <c r="H50" s="307"/>
      <c r="I50" s="309"/>
      <c r="J50" s="308"/>
      <c r="K50" s="307"/>
      <c r="L50" s="388"/>
      <c r="M50" s="359"/>
      <c r="N50" s="298"/>
      <c r="O50" s="149"/>
    </row>
    <row r="51" spans="2:15" ht="35.25" customHeight="1">
      <c r="B51" s="734">
        <v>2</v>
      </c>
      <c r="C51" s="725" t="s">
        <v>179</v>
      </c>
      <c r="D51" s="323" t="s">
        <v>86</v>
      </c>
      <c r="E51" s="324">
        <v>2999</v>
      </c>
      <c r="F51" s="337"/>
      <c r="G51" s="338"/>
      <c r="H51" s="324"/>
      <c r="I51" s="313" t="s">
        <v>176</v>
      </c>
      <c r="J51" s="325"/>
      <c r="K51" s="324"/>
      <c r="L51" s="387"/>
      <c r="M51" s="359"/>
      <c r="N51" s="298"/>
      <c r="O51" s="149"/>
    </row>
    <row r="52" spans="2:15" ht="35.25" customHeight="1">
      <c r="B52" s="735"/>
      <c r="C52" s="725"/>
      <c r="D52" s="301" t="s">
        <v>33</v>
      </c>
      <c r="E52" s="253">
        <v>88300</v>
      </c>
      <c r="F52" s="190">
        <f>M52</f>
        <v>128.75</v>
      </c>
      <c r="G52" s="190">
        <v>720.95</v>
      </c>
      <c r="H52" s="253">
        <v>491</v>
      </c>
      <c r="I52" s="314" t="s">
        <v>177</v>
      </c>
      <c r="J52" s="263">
        <f>G52*11160/1000000</f>
        <v>8.0458020000000001</v>
      </c>
      <c r="K52" s="253"/>
      <c r="L52" s="387"/>
      <c r="M52" s="359">
        <f>G52-N52</f>
        <v>128.75</v>
      </c>
      <c r="N52" s="190">
        <v>592.20000000000005</v>
      </c>
      <c r="O52" s="149"/>
    </row>
    <row r="53" spans="2:15" ht="35.25" customHeight="1">
      <c r="B53" s="251"/>
      <c r="C53" s="286"/>
      <c r="D53" s="306" t="s">
        <v>6</v>
      </c>
      <c r="E53" s="307">
        <f t="shared" ref="E53:J53" si="8">SUM(E51:E52)</f>
        <v>91299</v>
      </c>
      <c r="F53" s="308">
        <f t="shared" si="8"/>
        <v>128.75</v>
      </c>
      <c r="G53" s="308">
        <f t="shared" si="8"/>
        <v>720.95</v>
      </c>
      <c r="H53" s="307">
        <f t="shared" si="8"/>
        <v>491</v>
      </c>
      <c r="I53" s="307">
        <f t="shared" si="8"/>
        <v>0</v>
      </c>
      <c r="J53" s="308">
        <f t="shared" si="8"/>
        <v>8.0458020000000001</v>
      </c>
      <c r="K53" s="307"/>
      <c r="L53" s="388"/>
      <c r="M53" s="359"/>
      <c r="N53" s="298"/>
      <c r="O53" s="149"/>
    </row>
    <row r="54" spans="2:15" ht="29.25" customHeight="1">
      <c r="B54" s="345"/>
      <c r="C54" s="299"/>
      <c r="D54" s="256" t="s">
        <v>5</v>
      </c>
      <c r="E54" s="339">
        <f>E53+E50</f>
        <v>155799</v>
      </c>
      <c r="F54" s="341">
        <f>F53+F50</f>
        <v>128.75</v>
      </c>
      <c r="G54" s="341">
        <f>G53+G50</f>
        <v>720.95</v>
      </c>
      <c r="H54" s="339">
        <f>H53+H50</f>
        <v>491</v>
      </c>
      <c r="I54" s="340"/>
      <c r="J54" s="341">
        <f>J53+J50</f>
        <v>8.0458020000000001</v>
      </c>
      <c r="K54" s="339"/>
      <c r="L54" s="384"/>
      <c r="M54" s="149"/>
      <c r="N54" s="149"/>
      <c r="O54" s="149"/>
    </row>
    <row r="55" spans="2:15" ht="20.25">
      <c r="B55" s="361"/>
      <c r="C55" s="282"/>
      <c r="D55" s="283" t="s">
        <v>13</v>
      </c>
      <c r="E55" s="284">
        <f t="shared" ref="E55:J55" si="9">E54+E45+E43+E41+E34+E30+E27+E24</f>
        <v>7546477</v>
      </c>
      <c r="F55" s="300">
        <f t="shared" si="9"/>
        <v>39130.702000000027</v>
      </c>
      <c r="G55" s="300">
        <f t="shared" si="9"/>
        <v>115960.01530000003</v>
      </c>
      <c r="H55" s="284">
        <f t="shared" si="9"/>
        <v>60137.73</v>
      </c>
      <c r="I55" s="316">
        <f t="shared" si="9"/>
        <v>0</v>
      </c>
      <c r="J55" s="300">
        <f t="shared" si="9"/>
        <v>658.82531839500007</v>
      </c>
      <c r="K55" s="284"/>
      <c r="L55" s="389"/>
      <c r="M55" s="149"/>
      <c r="N55" s="149"/>
      <c r="O55" s="149"/>
    </row>
    <row r="56" spans="2:15" ht="20.25">
      <c r="D56" s="22"/>
      <c r="E56" s="26"/>
      <c r="F56" s="26"/>
      <c r="G56" s="27"/>
      <c r="H56" s="26"/>
      <c r="K56" s="26"/>
      <c r="L56" s="26"/>
      <c r="M56" s="149"/>
      <c r="N56" s="149"/>
      <c r="O56" s="149"/>
    </row>
    <row r="57" spans="2:15" ht="37.5" customHeight="1">
      <c r="C57" s="357" t="s">
        <v>111</v>
      </c>
      <c r="D57" s="357" t="s">
        <v>106</v>
      </c>
      <c r="E57" s="358" t="s">
        <v>135</v>
      </c>
      <c r="F57" s="358" t="s">
        <v>107</v>
      </c>
      <c r="G57" s="358" t="s">
        <v>138</v>
      </c>
      <c r="H57" s="10"/>
      <c r="K57" s="10"/>
      <c r="L57" s="10"/>
    </row>
    <row r="58" spans="2:15" ht="16.5" thickBot="1">
      <c r="C58" s="290" t="s">
        <v>154</v>
      </c>
      <c r="E58" s="10"/>
    </row>
    <row r="59" spans="2:15" ht="28.5">
      <c r="C59" s="342" t="s">
        <v>157</v>
      </c>
      <c r="D59" s="32">
        <f>E24+E27+E30+E34</f>
        <v>4494898</v>
      </c>
      <c r="E59" s="304">
        <f>G24+G27+G30+G34</f>
        <v>4116.4799999999996</v>
      </c>
      <c r="F59" s="32">
        <f>H24+H27</f>
        <v>2773.7299999999996</v>
      </c>
      <c r="G59" s="304">
        <f>J24+J27+J30+J34</f>
        <v>19.801048449999996</v>
      </c>
    </row>
    <row r="60" spans="2:15" ht="29.25" thickBot="1">
      <c r="C60" s="350" t="s">
        <v>178</v>
      </c>
      <c r="D60" s="351">
        <f>E41+E43+E45</f>
        <v>2895780</v>
      </c>
      <c r="E60" s="352">
        <f>G41+G43+G45</f>
        <v>111122.58530000002</v>
      </c>
      <c r="F60" s="351">
        <f>H41+H43+H45</f>
        <v>56873</v>
      </c>
      <c r="G60" s="352">
        <f>J41+J43+J45</f>
        <v>630.97846794500015</v>
      </c>
    </row>
    <row r="61" spans="2:15" ht="30" customHeight="1" thickBot="1">
      <c r="C61" s="353" t="s">
        <v>38</v>
      </c>
      <c r="D61" s="354">
        <f>SUM(D59:D60)</f>
        <v>7390678</v>
      </c>
      <c r="E61" s="355">
        <f>SUM(E59:E60)</f>
        <v>115239.06530000002</v>
      </c>
      <c r="F61" s="354">
        <f>SUM(F59:F60)</f>
        <v>59646.729999999996</v>
      </c>
      <c r="G61" s="355">
        <f>SUM(G59:G60)</f>
        <v>650.7795163950002</v>
      </c>
    </row>
    <row r="62" spans="2:15" ht="30.75" thickBot="1">
      <c r="C62" s="343" t="s">
        <v>148</v>
      </c>
      <c r="D62" s="280">
        <f>E54</f>
        <v>155799</v>
      </c>
      <c r="E62" s="360">
        <f>G54</f>
        <v>720.95</v>
      </c>
      <c r="F62" s="280">
        <f>H54</f>
        <v>491</v>
      </c>
      <c r="G62" s="360">
        <f>J54</f>
        <v>8.0458020000000001</v>
      </c>
    </row>
    <row r="63" spans="2:15" ht="28.5" customHeight="1" thickBot="1">
      <c r="C63" s="356" t="s">
        <v>6</v>
      </c>
      <c r="D63" s="354">
        <f>D62+D61</f>
        <v>7546477</v>
      </c>
      <c r="E63" s="355">
        <f>E62+E61</f>
        <v>115960.01530000001</v>
      </c>
      <c r="F63" s="354">
        <f>F62+F61</f>
        <v>60137.729999999996</v>
      </c>
      <c r="G63" s="355">
        <f>G62+G61</f>
        <v>658.82531839500018</v>
      </c>
    </row>
    <row r="69" spans="9:9">
      <c r="I69" s="3">
        <v>45369</v>
      </c>
    </row>
    <row r="70" spans="9:9">
      <c r="I70" s="1">
        <v>89</v>
      </c>
    </row>
    <row r="71" spans="9:9">
      <c r="I71" s="3">
        <f>I69+I70</f>
        <v>45458</v>
      </c>
    </row>
  </sheetData>
  <mergeCells count="23">
    <mergeCell ref="C15:C23"/>
    <mergeCell ref="B15:B23"/>
    <mergeCell ref="C28:C30"/>
    <mergeCell ref="B25:B27"/>
    <mergeCell ref="B2:J2"/>
    <mergeCell ref="B3:C3"/>
    <mergeCell ref="B14:C14"/>
    <mergeCell ref="C25:C27"/>
    <mergeCell ref="B28:B30"/>
    <mergeCell ref="B5:C5"/>
    <mergeCell ref="B6:B11"/>
    <mergeCell ref="C6:C11"/>
    <mergeCell ref="C51:C52"/>
    <mergeCell ref="C31:C34"/>
    <mergeCell ref="B42:B43"/>
    <mergeCell ref="B47:D47"/>
    <mergeCell ref="B51:B52"/>
    <mergeCell ref="B48:B49"/>
    <mergeCell ref="B35:B41"/>
    <mergeCell ref="C35:C41"/>
    <mergeCell ref="C42:C43"/>
    <mergeCell ref="C48:C49"/>
    <mergeCell ref="B31:B34"/>
  </mergeCells>
  <pageMargins left="0.31496062992125984" right="0.23622047244094491" top="0.23622047244094491" bottom="1.03" header="0.15748031496062992" footer="0.84"/>
  <pageSetup paperSize="9" scale="57" fitToHeight="2"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6" sqref="D26"/>
    </sheetView>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J18" sqref="J18"/>
    </sheetView>
  </sheetViews>
  <sheetFormatPr defaultRowHeight="1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S108"/>
  <sheetViews>
    <sheetView zoomScale="70" zoomScaleNormal="70" zoomScaleSheetLayoutView="85" workbookViewId="0">
      <selection activeCell="H17" sqref="H17"/>
    </sheetView>
  </sheetViews>
  <sheetFormatPr defaultColWidth="9.140625" defaultRowHeight="15"/>
  <cols>
    <col min="1" max="1" width="9.140625" style="1"/>
    <col min="2" max="2" width="7" style="1" customWidth="1"/>
    <col min="3" max="3" width="18.5703125" style="1" customWidth="1"/>
    <col min="4" max="4" width="23.5703125" style="1" customWidth="1"/>
    <col min="5" max="5" width="18" style="1" customWidth="1"/>
    <col min="6" max="6" width="16.42578125" style="1" hidden="1" customWidth="1"/>
    <col min="7" max="7" width="20.140625" style="1" customWidth="1"/>
    <col min="8" max="8" width="15.28515625" style="1" customWidth="1"/>
    <col min="9" max="9" width="19.42578125" style="1" bestFit="1" customWidth="1"/>
    <col min="10" max="10" width="29.85546875" style="1" customWidth="1"/>
    <col min="11" max="11" width="12.85546875" style="1" customWidth="1"/>
    <col min="12" max="12" width="1.42578125" style="357" hidden="1" customWidth="1"/>
    <col min="13" max="13" width="1.140625" style="1" hidden="1" customWidth="1"/>
    <col min="14" max="14" width="5.140625" style="1" customWidth="1"/>
    <col min="15" max="15" width="16.7109375" style="1" customWidth="1"/>
    <col min="16" max="16" width="20.28515625" style="1" customWidth="1"/>
    <col min="17" max="17" width="10.5703125" style="1" bestFit="1" customWidth="1"/>
    <col min="18" max="16384" width="9.140625" style="1"/>
  </cols>
  <sheetData>
    <row r="1" spans="2:17" ht="36.75" customHeight="1">
      <c r="B1" s="754" t="s">
        <v>292</v>
      </c>
      <c r="C1" s="754"/>
      <c r="D1" s="754"/>
      <c r="E1" s="754"/>
      <c r="F1" s="754"/>
      <c r="G1" s="754"/>
      <c r="H1" s="754"/>
      <c r="I1" s="754"/>
      <c r="J1" s="754"/>
      <c r="K1" s="754"/>
    </row>
    <row r="2" spans="2:17" ht="45.75" customHeight="1">
      <c r="B2" s="800" t="s">
        <v>299</v>
      </c>
      <c r="C2" s="800"/>
      <c r="D2" s="800"/>
      <c r="E2" s="800"/>
      <c r="F2" s="800"/>
      <c r="G2" s="800"/>
      <c r="H2" s="800"/>
      <c r="I2" s="800"/>
      <c r="J2" s="800"/>
      <c r="K2" s="800"/>
      <c r="L2" s="800"/>
      <c r="M2" s="800"/>
      <c r="N2" s="364"/>
    </row>
    <row r="3" spans="2:17" ht="24.75" customHeight="1" thickBot="1">
      <c r="B3" s="813"/>
      <c r="C3" s="813"/>
      <c r="D3" s="813"/>
      <c r="H3" s="250"/>
      <c r="I3" s="250"/>
      <c r="J3" s="268" t="s">
        <v>136</v>
      </c>
      <c r="M3" s="268"/>
      <c r="N3" s="268"/>
    </row>
    <row r="4" spans="2:17" ht="73.5" customHeight="1" thickBot="1">
      <c r="B4" s="368" t="s">
        <v>132</v>
      </c>
      <c r="C4" s="362" t="s">
        <v>0</v>
      </c>
      <c r="D4" s="369" t="s">
        <v>1</v>
      </c>
      <c r="E4" s="228" t="s">
        <v>293</v>
      </c>
      <c r="F4" s="382" t="s">
        <v>131</v>
      </c>
      <c r="G4" s="362" t="s">
        <v>135</v>
      </c>
      <c r="H4" s="362" t="s">
        <v>24</v>
      </c>
      <c r="I4" s="420" t="s">
        <v>192</v>
      </c>
      <c r="J4" s="362" t="s">
        <v>88</v>
      </c>
      <c r="K4" s="362" t="s">
        <v>138</v>
      </c>
      <c r="L4" s="381" t="s">
        <v>189</v>
      </c>
      <c r="M4" s="381" t="s">
        <v>191</v>
      </c>
      <c r="N4" s="383"/>
      <c r="O4" s="789" t="s">
        <v>234</v>
      </c>
      <c r="P4" s="789"/>
    </row>
    <row r="5" spans="2:17" ht="25.5" customHeight="1" thickBot="1">
      <c r="B5" s="807" t="s">
        <v>211</v>
      </c>
      <c r="C5" s="808"/>
      <c r="D5" s="500"/>
      <c r="E5" s="411"/>
      <c r="F5" s="412"/>
      <c r="G5" s="412"/>
      <c r="H5" s="411"/>
      <c r="I5" s="412"/>
      <c r="J5" s="501"/>
      <c r="K5" s="412"/>
      <c r="L5" s="411"/>
      <c r="M5" s="414"/>
      <c r="N5" s="6"/>
    </row>
    <row r="6" spans="2:17" ht="30" customHeight="1">
      <c r="B6" s="769">
        <v>1</v>
      </c>
      <c r="C6" s="695" t="s">
        <v>218</v>
      </c>
      <c r="D6" s="479" t="s">
        <v>250</v>
      </c>
      <c r="E6" s="545">
        <v>330763</v>
      </c>
      <c r="F6" s="190">
        <f>O6</f>
        <v>0</v>
      </c>
      <c r="G6" s="190">
        <v>215212.497</v>
      </c>
      <c r="H6" s="546">
        <v>85657</v>
      </c>
      <c r="I6" s="547">
        <v>275645.005</v>
      </c>
      <c r="J6" s="544" t="s">
        <v>220</v>
      </c>
      <c r="K6" s="190">
        <f>G6*8558/1000000</f>
        <v>1841.7885493260001</v>
      </c>
      <c r="L6" s="324">
        <v>7450</v>
      </c>
      <c r="M6" s="452">
        <f>(L6-8558)/8558</f>
        <v>-0.12946950222014489</v>
      </c>
      <c r="N6" s="6"/>
      <c r="O6" s="510">
        <f>G6-P6</f>
        <v>0</v>
      </c>
      <c r="P6" s="190">
        <v>215212.497</v>
      </c>
    </row>
    <row r="7" spans="2:17" ht="30" customHeight="1">
      <c r="B7" s="770"/>
      <c r="C7" s="696"/>
      <c r="D7" s="479" t="s">
        <v>226</v>
      </c>
      <c r="E7" s="545">
        <v>12633</v>
      </c>
      <c r="F7" s="190">
        <f>O7</f>
        <v>0</v>
      </c>
      <c r="G7" s="190">
        <v>1269.7</v>
      </c>
      <c r="H7" s="546">
        <v>611</v>
      </c>
      <c r="I7" s="549">
        <v>0</v>
      </c>
      <c r="J7" s="544" t="s">
        <v>244</v>
      </c>
      <c r="K7" s="190">
        <f>G7*8558/1000000</f>
        <v>10.8660926</v>
      </c>
      <c r="L7" s="324">
        <v>8600</v>
      </c>
      <c r="M7" s="452">
        <f>(L7-8558)/8558</f>
        <v>4.9076887123159618E-3</v>
      </c>
      <c r="N7" s="6"/>
      <c r="O7" s="510">
        <f>G7-P7</f>
        <v>0</v>
      </c>
      <c r="P7" s="190">
        <v>1269.7</v>
      </c>
    </row>
    <row r="8" spans="2:17" ht="30" customHeight="1">
      <c r="B8" s="770"/>
      <c r="C8" s="696"/>
      <c r="D8" s="479" t="s">
        <v>260</v>
      </c>
      <c r="E8" s="545">
        <v>12565</v>
      </c>
      <c r="F8" s="190">
        <f>O8</f>
        <v>0</v>
      </c>
      <c r="G8" s="190">
        <v>6410.65</v>
      </c>
      <c r="H8" s="546">
        <v>2614</v>
      </c>
      <c r="I8" s="549">
        <v>0</v>
      </c>
      <c r="J8" s="544" t="s">
        <v>222</v>
      </c>
      <c r="K8" s="190">
        <f>G8*8558/1000000</f>
        <v>54.862342699999992</v>
      </c>
      <c r="L8" s="324">
        <v>7900</v>
      </c>
      <c r="M8" s="452">
        <f>(L8-8558)/8558</f>
        <v>-7.6887123159616738E-2</v>
      </c>
      <c r="N8" s="6"/>
      <c r="O8" s="499">
        <f>G8-P8</f>
        <v>0</v>
      </c>
      <c r="P8" s="190">
        <v>6410.65</v>
      </c>
    </row>
    <row r="9" spans="2:17" ht="30" customHeight="1" thickBot="1">
      <c r="B9" s="750"/>
      <c r="C9" s="756"/>
      <c r="D9" s="495" t="s">
        <v>110</v>
      </c>
      <c r="E9" s="550">
        <v>1190</v>
      </c>
      <c r="F9" s="320">
        <f>O9</f>
        <v>0</v>
      </c>
      <c r="G9" s="320">
        <v>0</v>
      </c>
      <c r="H9" s="551">
        <v>0</v>
      </c>
      <c r="I9" s="552">
        <v>13.55</v>
      </c>
      <c r="J9" s="553" t="s">
        <v>21</v>
      </c>
      <c r="K9" s="320"/>
      <c r="L9" s="463">
        <v>7000</v>
      </c>
      <c r="M9" s="436">
        <f>(L9-8558)/8558</f>
        <v>-0.18205188128067307</v>
      </c>
      <c r="N9" s="6"/>
      <c r="O9" s="499"/>
      <c r="P9" s="263"/>
    </row>
    <row r="10" spans="2:17" ht="30" customHeight="1" thickBot="1">
      <c r="B10" s="771"/>
      <c r="C10" s="757"/>
      <c r="D10" s="516" t="s">
        <v>6</v>
      </c>
      <c r="E10" s="428">
        <f>SUM(E6:E9)</f>
        <v>357151</v>
      </c>
      <c r="F10" s="429">
        <f>SUM(F6:F9)</f>
        <v>0</v>
      </c>
      <c r="G10" s="429">
        <f>SUM(G6:G9)</f>
        <v>222892.84700000001</v>
      </c>
      <c r="H10" s="428">
        <f>SUM(H6:H9)</f>
        <v>88882</v>
      </c>
      <c r="I10" s="429">
        <f>SUM(I6:I9)</f>
        <v>275658.55499999999</v>
      </c>
      <c r="J10" s="430"/>
      <c r="K10" s="429">
        <f>SUM(K6:K9)</f>
        <v>1907.5169846260001</v>
      </c>
      <c r="L10" s="428"/>
      <c r="M10" s="432"/>
      <c r="N10" s="6"/>
      <c r="O10" s="499">
        <f>SUM(O6:O8)</f>
        <v>0</v>
      </c>
      <c r="P10" s="499">
        <f>SUM(P6:P8)</f>
        <v>222892.84700000001</v>
      </c>
    </row>
    <row r="11" spans="2:17" ht="30" customHeight="1">
      <c r="B11" s="760">
        <v>2</v>
      </c>
      <c r="C11" s="762" t="s">
        <v>219</v>
      </c>
      <c r="D11" s="476" t="s">
        <v>151</v>
      </c>
      <c r="E11" s="324">
        <v>74780</v>
      </c>
      <c r="F11" s="391">
        <f>O11</f>
        <v>0</v>
      </c>
      <c r="G11" s="391"/>
      <c r="H11" s="324"/>
      <c r="I11" s="391"/>
      <c r="J11" s="544" t="s">
        <v>220</v>
      </c>
      <c r="K11" s="391">
        <f>G11*6950/1000000</f>
        <v>0</v>
      </c>
      <c r="L11" s="324">
        <v>8100</v>
      </c>
      <c r="M11" s="452">
        <f>(L11-6950)/6950</f>
        <v>0.16546762589928057</v>
      </c>
      <c r="N11" s="6"/>
    </row>
    <row r="12" spans="2:17" ht="30" customHeight="1" thickBot="1">
      <c r="B12" s="761"/>
      <c r="C12" s="763"/>
      <c r="D12" s="518" t="s">
        <v>6</v>
      </c>
      <c r="E12" s="277">
        <f>SUM(E11)</f>
        <v>74780</v>
      </c>
      <c r="F12" s="278">
        <f>SUM(F11)</f>
        <v>0</v>
      </c>
      <c r="G12" s="278">
        <f>SUM(G11)</f>
        <v>0</v>
      </c>
      <c r="H12" s="278">
        <f>SUM(H11)</f>
        <v>0</v>
      </c>
      <c r="I12" s="278">
        <f>SUM(I11)</f>
        <v>0</v>
      </c>
      <c r="J12" s="519"/>
      <c r="K12" s="278">
        <f>SUM(K11)</f>
        <v>0</v>
      </c>
      <c r="L12" s="277"/>
      <c r="M12" s="520"/>
      <c r="N12" s="6"/>
    </row>
    <row r="13" spans="2:17" ht="30" customHeight="1" thickBot="1">
      <c r="B13" s="517"/>
      <c r="C13" s="521" t="s">
        <v>212</v>
      </c>
      <c r="D13" s="522"/>
      <c r="E13" s="428">
        <f t="shared" ref="E13:M13" si="0">E12+E10</f>
        <v>431931</v>
      </c>
      <c r="F13" s="412">
        <f t="shared" si="0"/>
        <v>0</v>
      </c>
      <c r="G13" s="412">
        <f t="shared" si="0"/>
        <v>222892.84700000001</v>
      </c>
      <c r="H13" s="411">
        <f t="shared" si="0"/>
        <v>88882</v>
      </c>
      <c r="I13" s="412">
        <f t="shared" si="0"/>
        <v>275658.55499999999</v>
      </c>
      <c r="J13" s="412">
        <f t="shared" si="0"/>
        <v>0</v>
      </c>
      <c r="K13" s="412">
        <f t="shared" si="0"/>
        <v>1907.5169846260001</v>
      </c>
      <c r="L13" s="412">
        <f t="shared" si="0"/>
        <v>0</v>
      </c>
      <c r="M13" s="523">
        <f t="shared" si="0"/>
        <v>0</v>
      </c>
      <c r="N13" s="6"/>
    </row>
    <row r="14" spans="2:17" ht="30" customHeight="1">
      <c r="B14" s="767" t="s">
        <v>205</v>
      </c>
      <c r="C14" s="768"/>
      <c r="D14" s="465"/>
      <c r="E14" s="466"/>
      <c r="F14" s="467"/>
      <c r="G14" s="467"/>
      <c r="H14" s="466"/>
      <c r="I14" s="466"/>
      <c r="J14" s="468"/>
      <c r="K14" s="467"/>
      <c r="L14" s="466"/>
      <c r="M14" s="469"/>
      <c r="N14" s="384"/>
    </row>
    <row r="15" spans="2:17" ht="30" customHeight="1">
      <c r="B15" s="758">
        <v>1</v>
      </c>
      <c r="C15" s="759" t="s">
        <v>160</v>
      </c>
      <c r="D15" s="473" t="s">
        <v>101</v>
      </c>
      <c r="E15" s="253">
        <v>17505</v>
      </c>
      <c r="F15" s="190">
        <f>O15</f>
        <v>0</v>
      </c>
      <c r="G15" s="190">
        <v>0</v>
      </c>
      <c r="H15" s="253">
        <v>0</v>
      </c>
      <c r="I15" s="190"/>
      <c r="J15" s="344" t="s">
        <v>21</v>
      </c>
      <c r="K15" s="263">
        <f>G15*8558/1000000</f>
        <v>0</v>
      </c>
      <c r="L15" s="253" t="s">
        <v>231</v>
      </c>
      <c r="M15" s="452"/>
      <c r="N15" s="387"/>
      <c r="O15" s="359">
        <f>G15-P15</f>
        <v>0</v>
      </c>
      <c r="P15" s="190">
        <v>0</v>
      </c>
      <c r="Q15" s="149"/>
    </row>
    <row r="16" spans="2:17" ht="30" customHeight="1">
      <c r="B16" s="758"/>
      <c r="C16" s="759"/>
      <c r="D16" s="473" t="s">
        <v>251</v>
      </c>
      <c r="E16" s="253">
        <f>1860+5280</f>
        <v>7140</v>
      </c>
      <c r="F16" s="190">
        <f>O16</f>
        <v>0</v>
      </c>
      <c r="G16" s="190">
        <v>1924.15</v>
      </c>
      <c r="H16" s="253">
        <v>1856</v>
      </c>
      <c r="I16" s="190">
        <v>2135.1999999999998</v>
      </c>
      <c r="J16" s="506" t="s">
        <v>197</v>
      </c>
      <c r="K16" s="190">
        <f>G16*8558/1000000</f>
        <v>16.466875700000003</v>
      </c>
      <c r="L16" s="253">
        <v>8250</v>
      </c>
      <c r="M16" s="452">
        <f>(L16-8558)/8558</f>
        <v>-3.5989717223650387E-2</v>
      </c>
      <c r="N16" s="387"/>
      <c r="O16" s="359">
        <f>G16-P16</f>
        <v>0</v>
      </c>
      <c r="P16" s="190">
        <v>1924.15</v>
      </c>
      <c r="Q16" s="149"/>
    </row>
    <row r="17" spans="2:19" ht="30" customHeight="1">
      <c r="B17" s="758"/>
      <c r="C17" s="759"/>
      <c r="D17" s="479" t="s">
        <v>252</v>
      </c>
      <c r="E17" s="253">
        <v>15753</v>
      </c>
      <c r="F17" s="190">
        <f>O17</f>
        <v>0</v>
      </c>
      <c r="G17" s="190">
        <v>3757.567</v>
      </c>
      <c r="H17" s="253">
        <v>4197</v>
      </c>
      <c r="I17" s="190">
        <v>1878.8840600000001</v>
      </c>
      <c r="J17" s="506" t="s">
        <v>241</v>
      </c>
      <c r="K17" s="190">
        <f>G17*8558/1000000</f>
        <v>32.157258386000002</v>
      </c>
      <c r="L17" s="435">
        <v>8300</v>
      </c>
      <c r="M17" s="452">
        <f>(L17-8558)/8558</f>
        <v>-3.0147230661369481E-2</v>
      </c>
      <c r="N17" s="387"/>
      <c r="O17" s="359">
        <f>G17-P17</f>
        <v>0</v>
      </c>
      <c r="P17" s="190">
        <v>3757.567</v>
      </c>
      <c r="Q17" s="149"/>
    </row>
    <row r="18" spans="2:19" ht="30" customHeight="1" thickBot="1">
      <c r="B18" s="782"/>
      <c r="C18" s="804"/>
      <c r="D18" s="485" t="s">
        <v>6</v>
      </c>
      <c r="E18" s="331">
        <f>SUM(E15:E17)</f>
        <v>40398</v>
      </c>
      <c r="F18" s="332">
        <f>SUM(F15:F17)</f>
        <v>0</v>
      </c>
      <c r="G18" s="332">
        <f>SUM(G15:G17)</f>
        <v>5681.7170000000006</v>
      </c>
      <c r="H18" s="331">
        <f>SUM(H15:H17)</f>
        <v>6053</v>
      </c>
      <c r="I18" s="332">
        <f>SUM(I15:I17)</f>
        <v>4014.0840600000001</v>
      </c>
      <c r="J18" s="333"/>
      <c r="K18" s="332">
        <f>SUM(K15:K17)</f>
        <v>48.624134086000005</v>
      </c>
      <c r="L18" s="331"/>
      <c r="M18" s="405"/>
      <c r="N18" s="384"/>
      <c r="O18" s="149"/>
      <c r="P18" s="149"/>
      <c r="Q18" s="149"/>
    </row>
    <row r="19" spans="2:19" ht="30" customHeight="1">
      <c r="B19" s="758">
        <v>2</v>
      </c>
      <c r="C19" s="805" t="s">
        <v>175</v>
      </c>
      <c r="D19" s="496" t="s">
        <v>250</v>
      </c>
      <c r="E19" s="324">
        <v>773635</v>
      </c>
      <c r="F19" s="391">
        <f t="shared" ref="F19:F25" si="1">O19</f>
        <v>0</v>
      </c>
      <c r="G19" s="391">
        <v>41168.519999999997</v>
      </c>
      <c r="H19" s="324">
        <v>14322</v>
      </c>
      <c r="I19" s="391">
        <v>795997.03</v>
      </c>
      <c r="J19" s="441" t="s">
        <v>167</v>
      </c>
      <c r="K19" s="319">
        <f>G19*5440/1000000</f>
        <v>223.95674879999999</v>
      </c>
      <c r="L19" s="460">
        <v>6750</v>
      </c>
      <c r="M19" s="452">
        <f>(L19-5440)/5440</f>
        <v>0.24080882352941177</v>
      </c>
      <c r="N19" s="387"/>
      <c r="O19" s="359">
        <f t="shared" ref="O19:O25" si="2">G19-P19</f>
        <v>0</v>
      </c>
      <c r="P19" s="391">
        <v>41168.519999999997</v>
      </c>
      <c r="Q19" s="149"/>
    </row>
    <row r="20" spans="2:19" ht="30" customHeight="1">
      <c r="B20" s="758"/>
      <c r="C20" s="805"/>
      <c r="D20" s="479" t="s">
        <v>226</v>
      </c>
      <c r="E20" s="253">
        <v>324530</v>
      </c>
      <c r="F20" s="190">
        <f>O20</f>
        <v>0</v>
      </c>
      <c r="G20" s="190">
        <v>139.15</v>
      </c>
      <c r="H20" s="253">
        <v>84</v>
      </c>
      <c r="I20" s="190">
        <v>328449.83</v>
      </c>
      <c r="J20" s="313" t="s">
        <v>166</v>
      </c>
      <c r="K20" s="263">
        <f t="shared" ref="K20:K25" si="3">G20*5440/1000000</f>
        <v>0.75697599999999998</v>
      </c>
      <c r="L20" s="435">
        <v>6700</v>
      </c>
      <c r="M20" s="399">
        <f t="shared" ref="M20:M27" si="4">(L20-5440)/5440</f>
        <v>0.23161764705882354</v>
      </c>
      <c r="N20" s="387"/>
      <c r="O20" s="359">
        <f t="shared" si="2"/>
        <v>0</v>
      </c>
      <c r="P20" s="190">
        <v>139.15</v>
      </c>
      <c r="Q20" s="149"/>
    </row>
    <row r="21" spans="2:19" ht="30" customHeight="1">
      <c r="B21" s="758"/>
      <c r="C21" s="805"/>
      <c r="D21" s="479" t="s">
        <v>119</v>
      </c>
      <c r="E21" s="253">
        <v>224485</v>
      </c>
      <c r="F21" s="190">
        <f t="shared" si="1"/>
        <v>0</v>
      </c>
      <c r="G21" s="190">
        <v>0</v>
      </c>
      <c r="H21" s="253">
        <v>0</v>
      </c>
      <c r="I21" s="190">
        <v>15584.94</v>
      </c>
      <c r="J21" s="313" t="s">
        <v>166</v>
      </c>
      <c r="K21" s="263">
        <f t="shared" si="3"/>
        <v>0</v>
      </c>
      <c r="L21" s="435">
        <v>6600</v>
      </c>
      <c r="M21" s="399">
        <f t="shared" si="4"/>
        <v>0.21323529411764705</v>
      </c>
      <c r="N21" s="387"/>
      <c r="O21" s="359">
        <f t="shared" si="2"/>
        <v>0</v>
      </c>
      <c r="P21" s="190">
        <v>0</v>
      </c>
      <c r="Q21" s="149"/>
    </row>
    <row r="22" spans="2:19" ht="30" customHeight="1">
      <c r="B22" s="758"/>
      <c r="C22" s="805"/>
      <c r="D22" s="479" t="s">
        <v>86</v>
      </c>
      <c r="E22" s="253">
        <v>139740</v>
      </c>
      <c r="F22" s="190">
        <f>O22</f>
        <v>0</v>
      </c>
      <c r="G22" s="190"/>
      <c r="H22" s="253"/>
      <c r="I22" s="190">
        <v>79536.649999999994</v>
      </c>
      <c r="J22" s="344" t="s">
        <v>21</v>
      </c>
      <c r="K22" s="263">
        <f t="shared" si="3"/>
        <v>0</v>
      </c>
      <c r="L22" s="435">
        <v>6821</v>
      </c>
      <c r="M22" s="399">
        <f t="shared" si="4"/>
        <v>0.25386029411764705</v>
      </c>
      <c r="N22" s="387"/>
      <c r="O22" s="359">
        <f t="shared" si="2"/>
        <v>0</v>
      </c>
      <c r="P22" s="190"/>
      <c r="Q22" s="149"/>
    </row>
    <row r="23" spans="2:19" ht="30" customHeight="1">
      <c r="B23" s="758"/>
      <c r="C23" s="805"/>
      <c r="D23" s="479" t="s">
        <v>127</v>
      </c>
      <c r="E23" s="253">
        <v>666750</v>
      </c>
      <c r="F23" s="190">
        <f t="shared" si="1"/>
        <v>0</v>
      </c>
      <c r="G23" s="190"/>
      <c r="H23" s="253"/>
      <c r="I23" s="190">
        <v>772857.96</v>
      </c>
      <c r="J23" s="344" t="s">
        <v>199</v>
      </c>
      <c r="K23" s="263">
        <f t="shared" si="3"/>
        <v>0</v>
      </c>
      <c r="L23" s="435">
        <v>6800</v>
      </c>
      <c r="M23" s="399">
        <f t="shared" si="4"/>
        <v>0.25</v>
      </c>
      <c r="N23" s="387"/>
      <c r="O23" s="359">
        <f t="shared" si="2"/>
        <v>0</v>
      </c>
      <c r="P23" s="190"/>
      <c r="Q23" s="149"/>
    </row>
    <row r="24" spans="2:19" ht="30" customHeight="1">
      <c r="B24" s="758"/>
      <c r="C24" s="805"/>
      <c r="D24" s="479" t="s">
        <v>253</v>
      </c>
      <c r="E24" s="253">
        <v>452365</v>
      </c>
      <c r="F24" s="190">
        <f t="shared" si="1"/>
        <v>0</v>
      </c>
      <c r="G24" s="190">
        <v>1248.9259999999999</v>
      </c>
      <c r="H24" s="253">
        <v>643</v>
      </c>
      <c r="I24" s="190">
        <v>247318.15</v>
      </c>
      <c r="J24" s="506" t="s">
        <v>193</v>
      </c>
      <c r="K24" s="263">
        <f t="shared" si="3"/>
        <v>6.7941574399999993</v>
      </c>
      <c r="L24" s="435">
        <v>6450</v>
      </c>
      <c r="M24" s="399">
        <f t="shared" si="4"/>
        <v>0.18566176470588236</v>
      </c>
      <c r="N24" s="387"/>
      <c r="O24" s="359">
        <f t="shared" si="2"/>
        <v>0</v>
      </c>
      <c r="P24" s="190">
        <v>1248.9259999999999</v>
      </c>
      <c r="Q24" s="149"/>
    </row>
    <row r="25" spans="2:19" ht="30" customHeight="1">
      <c r="B25" s="758"/>
      <c r="C25" s="805"/>
      <c r="D25" s="479" t="s">
        <v>225</v>
      </c>
      <c r="E25" s="253">
        <v>58015</v>
      </c>
      <c r="F25" s="190">
        <f t="shared" si="1"/>
        <v>0</v>
      </c>
      <c r="G25" s="190">
        <v>564.35</v>
      </c>
      <c r="H25" s="253">
        <v>360</v>
      </c>
      <c r="I25" s="190">
        <v>50238</v>
      </c>
      <c r="J25" s="313" t="s">
        <v>165</v>
      </c>
      <c r="K25" s="263">
        <f t="shared" si="3"/>
        <v>3.0700639999999999</v>
      </c>
      <c r="L25" s="435">
        <v>6400</v>
      </c>
      <c r="M25" s="399">
        <f t="shared" si="4"/>
        <v>0.17647058823529413</v>
      </c>
      <c r="N25" s="387"/>
      <c r="O25" s="359">
        <f t="shared" si="2"/>
        <v>0</v>
      </c>
      <c r="P25" s="190">
        <v>564.35</v>
      </c>
      <c r="Q25" s="149"/>
    </row>
    <row r="26" spans="2:19" ht="30" customHeight="1">
      <c r="B26" s="758"/>
      <c r="C26" s="805"/>
      <c r="D26" s="479" t="s">
        <v>101</v>
      </c>
      <c r="E26" s="254">
        <v>114163</v>
      </c>
      <c r="F26" s="263"/>
      <c r="G26" s="190"/>
      <c r="H26" s="253"/>
      <c r="I26" s="190">
        <v>63132.1</v>
      </c>
      <c r="J26" s="344" t="s">
        <v>21</v>
      </c>
      <c r="K26" s="263"/>
      <c r="L26" s="435">
        <v>6500</v>
      </c>
      <c r="M26" s="399">
        <f t="shared" si="4"/>
        <v>0.19485294117647059</v>
      </c>
      <c r="N26" s="387"/>
      <c r="O26" s="149"/>
      <c r="P26" s="190"/>
      <c r="Q26" s="149"/>
      <c r="R26" s="1">
        <v>8000</v>
      </c>
      <c r="S26" s="1">
        <v>12100</v>
      </c>
    </row>
    <row r="27" spans="2:19" ht="32.25" customHeight="1">
      <c r="B27" s="758"/>
      <c r="C27" s="805"/>
      <c r="D27" s="479" t="s">
        <v>110</v>
      </c>
      <c r="E27" s="254">
        <v>6580</v>
      </c>
      <c r="F27" s="263"/>
      <c r="G27" s="190"/>
      <c r="H27" s="253"/>
      <c r="I27" s="190">
        <v>0</v>
      </c>
      <c r="J27" s="313" t="s">
        <v>168</v>
      </c>
      <c r="K27" s="263"/>
      <c r="L27" s="435">
        <v>6700</v>
      </c>
      <c r="M27" s="399">
        <f t="shared" si="4"/>
        <v>0.23161764705882354</v>
      </c>
      <c r="N27" s="387"/>
      <c r="O27" s="149"/>
      <c r="P27" s="190"/>
      <c r="Q27" s="149"/>
      <c r="R27" s="1">
        <v>8500</v>
      </c>
    </row>
    <row r="28" spans="2:19" ht="32.25" customHeight="1" thickBot="1">
      <c r="B28" s="758"/>
      <c r="C28" s="805"/>
      <c r="D28" s="480" t="s">
        <v>200</v>
      </c>
      <c r="E28" s="423">
        <v>13835</v>
      </c>
      <c r="F28" s="424"/>
      <c r="G28" s="425"/>
      <c r="H28" s="426"/>
      <c r="I28" s="425">
        <v>0</v>
      </c>
      <c r="J28" s="433" t="s">
        <v>21</v>
      </c>
      <c r="K28" s="424"/>
      <c r="L28" s="461"/>
      <c r="M28" s="434"/>
      <c r="N28" s="387"/>
      <c r="O28" s="149"/>
      <c r="P28" s="425"/>
      <c r="Q28" s="149"/>
      <c r="R28" s="1">
        <f>R27+R26</f>
        <v>16500</v>
      </c>
    </row>
    <row r="29" spans="2:19" ht="32.25" customHeight="1" thickBot="1">
      <c r="B29" s="782"/>
      <c r="C29" s="806"/>
      <c r="D29" s="481" t="s">
        <v>6</v>
      </c>
      <c r="E29" s="428">
        <f>SUM(E19:E28)</f>
        <v>2774098</v>
      </c>
      <c r="F29" s="429">
        <f>SUM(F19:F27)</f>
        <v>0</v>
      </c>
      <c r="G29" s="429">
        <f>SUM(G19:G28)</f>
        <v>43120.945999999996</v>
      </c>
      <c r="H29" s="428">
        <f>SUM(H19:H27)</f>
        <v>15409</v>
      </c>
      <c r="I29" s="429">
        <f>SUM(I19:I28)</f>
        <v>2353114.66</v>
      </c>
      <c r="J29" s="430"/>
      <c r="K29" s="431">
        <f>SUM(K19:K27)</f>
        <v>234.57794623999999</v>
      </c>
      <c r="L29" s="428"/>
      <c r="M29" s="432"/>
      <c r="N29" s="384"/>
      <c r="O29" s="149"/>
      <c r="P29" s="149"/>
      <c r="Q29" s="149"/>
      <c r="R29" s="1">
        <f>R28/2</f>
        <v>8250</v>
      </c>
    </row>
    <row r="30" spans="2:19" ht="32.25" customHeight="1">
      <c r="B30" s="781">
        <v>3</v>
      </c>
      <c r="C30" s="801" t="s">
        <v>152</v>
      </c>
      <c r="D30" s="507" t="s">
        <v>250</v>
      </c>
      <c r="E30" s="396">
        <v>636010</v>
      </c>
      <c r="F30" s="397">
        <f>O30</f>
        <v>0</v>
      </c>
      <c r="G30" s="397">
        <v>205739.96</v>
      </c>
      <c r="H30" s="396">
        <v>97796</v>
      </c>
      <c r="I30" s="397">
        <v>64460.92</v>
      </c>
      <c r="J30" s="459" t="s">
        <v>167</v>
      </c>
      <c r="K30" s="397">
        <f>G30*6425/1000000</f>
        <v>1321.8792430000001</v>
      </c>
      <c r="L30" s="396">
        <v>6000</v>
      </c>
      <c r="M30" s="399">
        <f>(L30-6425)/6425</f>
        <v>-6.6147859922178989E-2</v>
      </c>
      <c r="N30" s="387"/>
      <c r="O30" s="359">
        <f>G30-P30</f>
        <v>0</v>
      </c>
      <c r="P30" s="397">
        <v>205739.96</v>
      </c>
      <c r="Q30" s="149"/>
    </row>
    <row r="31" spans="2:19" ht="32.25" customHeight="1">
      <c r="B31" s="758"/>
      <c r="C31" s="802"/>
      <c r="D31" s="479" t="s">
        <v>254</v>
      </c>
      <c r="E31" s="253">
        <v>516800</v>
      </c>
      <c r="F31" s="190">
        <f>O31</f>
        <v>0</v>
      </c>
      <c r="G31" s="190">
        <v>42811.294000000002</v>
      </c>
      <c r="H31" s="253">
        <v>19111</v>
      </c>
      <c r="I31" s="190">
        <v>12013.65</v>
      </c>
      <c r="J31" s="313" t="s">
        <v>221</v>
      </c>
      <c r="K31" s="391">
        <f>G31*6425/1000000</f>
        <v>275.06256394999997</v>
      </c>
      <c r="L31" s="253">
        <v>6100</v>
      </c>
      <c r="M31" s="399">
        <f>(L31-6425)/6425</f>
        <v>-5.0583657587548639E-2</v>
      </c>
      <c r="N31" s="387"/>
      <c r="O31" s="359">
        <f>G31-P31</f>
        <v>0</v>
      </c>
      <c r="P31" s="190">
        <v>42811.294000000002</v>
      </c>
      <c r="Q31" s="149"/>
    </row>
    <row r="32" spans="2:19" ht="32.25" customHeight="1">
      <c r="B32" s="758"/>
      <c r="C32" s="802"/>
      <c r="D32" s="482" t="s">
        <v>200</v>
      </c>
      <c r="E32" s="464">
        <v>126770</v>
      </c>
      <c r="F32" s="190">
        <f>O32</f>
        <v>0</v>
      </c>
      <c r="G32" s="427"/>
      <c r="H32" s="463"/>
      <c r="I32" s="427"/>
      <c r="J32" s="344" t="s">
        <v>21</v>
      </c>
      <c r="K32" s="325">
        <f>G32*6425/1000000</f>
        <v>0</v>
      </c>
      <c r="L32" s="463"/>
      <c r="M32" s="436"/>
      <c r="N32" s="387"/>
      <c r="O32" s="359">
        <f>G32-P32</f>
        <v>0</v>
      </c>
      <c r="P32" s="427"/>
      <c r="Q32" s="149"/>
    </row>
    <row r="33" spans="2:18" ht="32.25" customHeight="1" thickBot="1">
      <c r="B33" s="782"/>
      <c r="C33" s="803"/>
      <c r="D33" s="483" t="s">
        <v>6</v>
      </c>
      <c r="E33" s="307">
        <f>SUM(E30:E32)</f>
        <v>1279580</v>
      </c>
      <c r="F33" s="308">
        <f>SUM(F30:F32)</f>
        <v>0</v>
      </c>
      <c r="G33" s="308">
        <f>SUM(G30:G31)</f>
        <v>248551.25399999999</v>
      </c>
      <c r="H33" s="307">
        <f>SUM(H30:H31)</f>
        <v>116907</v>
      </c>
      <c r="I33" s="308">
        <f>SUM(I30:I31)</f>
        <v>76474.569999999992</v>
      </c>
      <c r="J33" s="309"/>
      <c r="K33" s="308">
        <f>SUM(K30:K31)</f>
        <v>1596.94180695</v>
      </c>
      <c r="L33" s="307"/>
      <c r="M33" s="404"/>
      <c r="N33" s="384"/>
      <c r="O33" s="149"/>
      <c r="P33" s="149"/>
      <c r="Q33" s="149"/>
    </row>
    <row r="34" spans="2:18" ht="32.25" customHeight="1">
      <c r="B34" s="781">
        <v>4</v>
      </c>
      <c r="C34" s="783" t="s">
        <v>161</v>
      </c>
      <c r="D34" s="478" t="s">
        <v>101</v>
      </c>
      <c r="E34" s="396">
        <v>401610</v>
      </c>
      <c r="F34" s="443">
        <f>O34</f>
        <v>0</v>
      </c>
      <c r="G34" s="443">
        <v>0</v>
      </c>
      <c r="H34" s="462">
        <v>0</v>
      </c>
      <c r="I34" s="443">
        <v>0</v>
      </c>
      <c r="J34" s="406" t="s">
        <v>21</v>
      </c>
      <c r="K34" s="444">
        <f>G34*6950/1000000</f>
        <v>0</v>
      </c>
      <c r="L34" s="396" t="s">
        <v>231</v>
      </c>
      <c r="M34" s="452"/>
      <c r="N34" s="387"/>
      <c r="O34" s="359">
        <f>G34-P34</f>
        <v>0</v>
      </c>
      <c r="P34" s="149"/>
      <c r="Q34" s="149"/>
    </row>
    <row r="35" spans="2:18" ht="32.25" customHeight="1">
      <c r="B35" s="758"/>
      <c r="C35" s="759"/>
      <c r="D35" s="473" t="s">
        <v>33</v>
      </c>
      <c r="E35" s="253">
        <v>142780</v>
      </c>
      <c r="F35" s="190">
        <f>O35</f>
        <v>0</v>
      </c>
      <c r="G35" s="190">
        <v>0</v>
      </c>
      <c r="H35" s="253">
        <v>0</v>
      </c>
      <c r="I35" s="190">
        <v>0</v>
      </c>
      <c r="J35" s="344" t="s">
        <v>21</v>
      </c>
      <c r="K35" s="263">
        <f>G35*6950/1000000</f>
        <v>0</v>
      </c>
      <c r="L35" s="253">
        <v>8750</v>
      </c>
      <c r="M35" s="452">
        <f>(L35-6950)/6950</f>
        <v>0.25899280575539568</v>
      </c>
      <c r="N35" s="387"/>
      <c r="O35" s="359">
        <f>G35-P35</f>
        <v>0</v>
      </c>
      <c r="P35" s="149"/>
      <c r="Q35" s="149"/>
    </row>
    <row r="36" spans="2:18" ht="32.25" customHeight="1">
      <c r="B36" s="758"/>
      <c r="C36" s="759"/>
      <c r="D36" s="473" t="s">
        <v>123</v>
      </c>
      <c r="E36" s="253">
        <v>18070</v>
      </c>
      <c r="F36" s="190">
        <f>O36</f>
        <v>0</v>
      </c>
      <c r="G36" s="190">
        <v>0</v>
      </c>
      <c r="H36" s="253">
        <v>0</v>
      </c>
      <c r="I36" s="190">
        <v>0</v>
      </c>
      <c r="J36" s="344" t="s">
        <v>21</v>
      </c>
      <c r="K36" s="263">
        <f>G36*6950/1000000</f>
        <v>0</v>
      </c>
      <c r="L36" s="253" t="s">
        <v>231</v>
      </c>
      <c r="M36" s="452"/>
      <c r="N36" s="387"/>
      <c r="O36" s="359">
        <f>G36-P36</f>
        <v>0</v>
      </c>
      <c r="P36" s="149"/>
      <c r="Q36" s="149"/>
    </row>
    <row r="37" spans="2:18" ht="32.25" customHeight="1">
      <c r="B37" s="758"/>
      <c r="C37" s="759"/>
      <c r="D37" s="484" t="s">
        <v>208</v>
      </c>
      <c r="E37" s="321">
        <v>5600</v>
      </c>
      <c r="F37" s="391">
        <f>O37</f>
        <v>0</v>
      </c>
      <c r="G37" s="427">
        <v>0</v>
      </c>
      <c r="H37" s="463">
        <v>0</v>
      </c>
      <c r="I37" s="391">
        <v>0</v>
      </c>
      <c r="J37" s="344" t="s">
        <v>241</v>
      </c>
      <c r="K37" s="325">
        <f>G37*6950/1000000</f>
        <v>0</v>
      </c>
      <c r="L37" s="321">
        <v>8300</v>
      </c>
      <c r="M37" s="452">
        <f>(L37-6950)/6950</f>
        <v>0.19424460431654678</v>
      </c>
      <c r="N37" s="387"/>
      <c r="O37" s="359">
        <f>G37-P37</f>
        <v>0</v>
      </c>
      <c r="P37" s="149"/>
      <c r="Q37" s="149"/>
    </row>
    <row r="38" spans="2:18" ht="32.25" customHeight="1" thickBot="1">
      <c r="B38" s="782"/>
      <c r="C38" s="804"/>
      <c r="D38" s="485" t="s">
        <v>6</v>
      </c>
      <c r="E38" s="331">
        <f>SUM(E34:E37)</f>
        <v>568060</v>
      </c>
      <c r="F38" s="331">
        <f>SUM(F34:F37)</f>
        <v>0</v>
      </c>
      <c r="G38" s="331">
        <f>SUM(G34:G37)</f>
        <v>0</v>
      </c>
      <c r="H38" s="331">
        <f>SUM(H34:H37)</f>
        <v>0</v>
      </c>
      <c r="I38" s="331">
        <f>SUM(I34:I37)</f>
        <v>0</v>
      </c>
      <c r="J38" s="333"/>
      <c r="K38" s="332">
        <f>SUM(K34)</f>
        <v>0</v>
      </c>
      <c r="L38" s="331"/>
      <c r="M38" s="405"/>
      <c r="N38" s="384"/>
      <c r="O38" s="149"/>
      <c r="P38" s="149"/>
      <c r="Q38" s="149"/>
    </row>
    <row r="39" spans="2:18" ht="32.25" customHeight="1">
      <c r="B39" s="781">
        <v>5</v>
      </c>
      <c r="C39" s="810" t="s">
        <v>153</v>
      </c>
      <c r="D39" s="478" t="s">
        <v>250</v>
      </c>
      <c r="E39" s="396">
        <v>416288</v>
      </c>
      <c r="F39" s="397">
        <f t="shared" ref="F39:F47" si="5">O39</f>
        <v>0</v>
      </c>
      <c r="G39" s="397">
        <v>358649.99</v>
      </c>
      <c r="H39" s="396">
        <v>98105</v>
      </c>
      <c r="I39" s="397">
        <v>167090.96</v>
      </c>
      <c r="J39" s="459" t="s">
        <v>167</v>
      </c>
      <c r="K39" s="397">
        <f t="shared" ref="K39:K44" si="6">G39*5650/1000000</f>
        <v>2026.3724434999999</v>
      </c>
      <c r="L39" s="396">
        <v>5550</v>
      </c>
      <c r="M39" s="399">
        <f t="shared" ref="M39:M44" si="7">(L39-5650)/5650</f>
        <v>-1.7699115044247787E-2</v>
      </c>
      <c r="N39" s="387"/>
      <c r="O39" s="359">
        <f t="shared" ref="O39:O47" si="8">G39-P39</f>
        <v>0</v>
      </c>
      <c r="P39" s="397">
        <v>358649.99</v>
      </c>
      <c r="Q39" s="149"/>
      <c r="R39" s="1">
        <v>10200</v>
      </c>
    </row>
    <row r="40" spans="2:18" ht="32.25" customHeight="1">
      <c r="B40" s="758"/>
      <c r="C40" s="811"/>
      <c r="D40" s="473" t="s">
        <v>254</v>
      </c>
      <c r="E40" s="253">
        <v>436588</v>
      </c>
      <c r="F40" s="190">
        <f t="shared" si="5"/>
        <v>0</v>
      </c>
      <c r="G40" s="190">
        <v>45047.061999999998</v>
      </c>
      <c r="H40" s="253">
        <v>20354</v>
      </c>
      <c r="I40" s="190">
        <v>32368.37</v>
      </c>
      <c r="J40" s="313" t="s">
        <v>221</v>
      </c>
      <c r="K40" s="190">
        <f t="shared" si="6"/>
        <v>254.51590029999997</v>
      </c>
      <c r="L40" s="253">
        <v>5250</v>
      </c>
      <c r="M40" s="399">
        <f t="shared" si="7"/>
        <v>-7.0796460176991149E-2</v>
      </c>
      <c r="N40" s="387"/>
      <c r="O40" s="359">
        <f t="shared" si="8"/>
        <v>0</v>
      </c>
      <c r="P40" s="190">
        <v>45047.061999999998</v>
      </c>
      <c r="Q40" s="149"/>
      <c r="R40" s="1">
        <v>10600</v>
      </c>
    </row>
    <row r="41" spans="2:18" ht="32.25" customHeight="1">
      <c r="B41" s="758"/>
      <c r="C41" s="811"/>
      <c r="D41" s="473" t="s">
        <v>226</v>
      </c>
      <c r="E41" s="253">
        <v>150905</v>
      </c>
      <c r="F41" s="190">
        <f t="shared" si="5"/>
        <v>0</v>
      </c>
      <c r="G41" s="190">
        <v>115225.80100000001</v>
      </c>
      <c r="H41" s="253">
        <v>60068</v>
      </c>
      <c r="I41" s="190">
        <v>84336.97</v>
      </c>
      <c r="J41" s="313" t="s">
        <v>166</v>
      </c>
      <c r="K41" s="190">
        <f t="shared" si="6"/>
        <v>651.02577565000013</v>
      </c>
      <c r="L41" s="253">
        <v>5350</v>
      </c>
      <c r="M41" s="399">
        <f t="shared" si="7"/>
        <v>-5.3097345132743362E-2</v>
      </c>
      <c r="N41" s="387"/>
      <c r="O41" s="359">
        <f t="shared" si="8"/>
        <v>0</v>
      </c>
      <c r="P41" s="190">
        <v>115225.80100000001</v>
      </c>
      <c r="Q41" s="149"/>
      <c r="R41" s="1">
        <f>R40+R39</f>
        <v>20800</v>
      </c>
    </row>
    <row r="42" spans="2:18" ht="32.25" customHeight="1">
      <c r="B42" s="758"/>
      <c r="C42" s="811"/>
      <c r="D42" s="473" t="s">
        <v>255</v>
      </c>
      <c r="E42" s="253">
        <v>325938</v>
      </c>
      <c r="F42" s="190">
        <f t="shared" si="5"/>
        <v>0</v>
      </c>
      <c r="G42" s="190">
        <v>325938.06</v>
      </c>
      <c r="H42" s="253">
        <v>172874</v>
      </c>
      <c r="I42" s="190">
        <v>341758.49</v>
      </c>
      <c r="J42" s="313" t="s">
        <v>169</v>
      </c>
      <c r="K42" s="190">
        <f t="shared" si="6"/>
        <v>1841.550039</v>
      </c>
      <c r="L42" s="253">
        <v>5400</v>
      </c>
      <c r="M42" s="399">
        <f t="shared" si="7"/>
        <v>-4.4247787610619468E-2</v>
      </c>
      <c r="N42" s="387"/>
      <c r="O42" s="359">
        <f t="shared" si="8"/>
        <v>0</v>
      </c>
      <c r="P42" s="190">
        <v>325938.06</v>
      </c>
      <c r="Q42" s="149"/>
      <c r="R42" s="1">
        <f>R41/2</f>
        <v>10400</v>
      </c>
    </row>
    <row r="43" spans="2:18" ht="32.25" customHeight="1">
      <c r="B43" s="758"/>
      <c r="C43" s="811"/>
      <c r="D43" s="473" t="s">
        <v>253</v>
      </c>
      <c r="E43" s="253">
        <v>1458118</v>
      </c>
      <c r="F43" s="190">
        <f t="shared" si="5"/>
        <v>0</v>
      </c>
      <c r="G43" s="190">
        <v>351363.26</v>
      </c>
      <c r="H43" s="253">
        <v>167005</v>
      </c>
      <c r="I43" s="190">
        <v>485567.67</v>
      </c>
      <c r="J43" s="506" t="s">
        <v>193</v>
      </c>
      <c r="K43" s="190">
        <f t="shared" si="6"/>
        <v>1985.202419</v>
      </c>
      <c r="L43" s="253">
        <v>5500</v>
      </c>
      <c r="M43" s="399">
        <f t="shared" si="7"/>
        <v>-2.6548672566371681E-2</v>
      </c>
      <c r="N43" s="387"/>
      <c r="O43" s="359">
        <f t="shared" si="8"/>
        <v>0</v>
      </c>
      <c r="P43" s="190">
        <v>351363.26</v>
      </c>
      <c r="Q43" s="149"/>
    </row>
    <row r="44" spans="2:18" ht="32.25" customHeight="1">
      <c r="B44" s="758"/>
      <c r="C44" s="811"/>
      <c r="D44" s="473" t="s">
        <v>256</v>
      </c>
      <c r="E44" s="253">
        <v>58313</v>
      </c>
      <c r="F44" s="190">
        <f t="shared" si="5"/>
        <v>0</v>
      </c>
      <c r="G44" s="190">
        <v>11102.05</v>
      </c>
      <c r="H44" s="253">
        <v>3540</v>
      </c>
      <c r="I44" s="190">
        <v>3273.3</v>
      </c>
      <c r="J44" s="313" t="s">
        <v>215</v>
      </c>
      <c r="K44" s="190">
        <f t="shared" si="6"/>
        <v>62.726582499999992</v>
      </c>
      <c r="L44" s="253">
        <v>5050</v>
      </c>
      <c r="M44" s="399">
        <f t="shared" si="7"/>
        <v>-0.10619469026548672</v>
      </c>
      <c r="N44" s="387"/>
      <c r="O44" s="359">
        <f t="shared" si="8"/>
        <v>0</v>
      </c>
      <c r="P44" s="190">
        <v>11102.05</v>
      </c>
      <c r="Q44" s="149"/>
    </row>
    <row r="45" spans="2:18" ht="32.25" customHeight="1" thickBot="1">
      <c r="B45" s="809"/>
      <c r="C45" s="812"/>
      <c r="D45" s="485" t="s">
        <v>6</v>
      </c>
      <c r="E45" s="331">
        <f>SUM(E39:E44)</f>
        <v>2846150</v>
      </c>
      <c r="F45" s="332">
        <f>SUM(F39:F44)</f>
        <v>0</v>
      </c>
      <c r="G45" s="332">
        <f>SUM(G39:G44)</f>
        <v>1207326.223</v>
      </c>
      <c r="H45" s="331">
        <f>SUM(H39:H44)</f>
        <v>521946</v>
      </c>
      <c r="I45" s="332">
        <f>SUM(I39:I44)</f>
        <v>1114395.76</v>
      </c>
      <c r="J45" s="333"/>
      <c r="K45" s="332">
        <f>SUM(K39:K44)</f>
        <v>6821.3931599500002</v>
      </c>
      <c r="L45" s="331"/>
      <c r="M45" s="405"/>
      <c r="N45" s="384"/>
      <c r="O45" s="359">
        <f>SUM(O39:O44)</f>
        <v>0</v>
      </c>
      <c r="P45" s="359">
        <f>SUM(P39:P44)</f>
        <v>1207326.223</v>
      </c>
      <c r="Q45" s="149"/>
    </row>
    <row r="46" spans="2:18" ht="32.25" customHeight="1">
      <c r="B46" s="758">
        <v>6</v>
      </c>
      <c r="C46" s="759" t="s">
        <v>162</v>
      </c>
      <c r="D46" s="476" t="s">
        <v>101</v>
      </c>
      <c r="E46" s="324">
        <v>46463</v>
      </c>
      <c r="F46" s="190">
        <f t="shared" si="5"/>
        <v>0</v>
      </c>
      <c r="G46" s="391">
        <v>0</v>
      </c>
      <c r="H46" s="324">
        <v>0</v>
      </c>
      <c r="I46" s="391"/>
      <c r="J46" s="401" t="s">
        <v>21</v>
      </c>
      <c r="K46" s="190">
        <f>G46*6377/1000000</f>
        <v>0</v>
      </c>
      <c r="L46" s="324">
        <v>6711</v>
      </c>
      <c r="M46" s="399">
        <f>(L46-6377)/6377</f>
        <v>5.2375725262662695E-2</v>
      </c>
      <c r="N46" s="387"/>
      <c r="O46" s="359">
        <f t="shared" si="8"/>
        <v>0</v>
      </c>
      <c r="P46" s="149"/>
      <c r="Q46" s="149"/>
    </row>
    <row r="47" spans="2:18" ht="32.25" customHeight="1">
      <c r="B47" s="758"/>
      <c r="C47" s="759"/>
      <c r="D47" s="479" t="s">
        <v>252</v>
      </c>
      <c r="E47" s="253">
        <v>12488</v>
      </c>
      <c r="F47" s="190">
        <f t="shared" si="5"/>
        <v>0</v>
      </c>
      <c r="G47" s="190">
        <v>1329.18</v>
      </c>
      <c r="H47" s="253">
        <v>1063</v>
      </c>
      <c r="I47" s="190">
        <v>116.97</v>
      </c>
      <c r="J47" s="506" t="s">
        <v>241</v>
      </c>
      <c r="K47" s="190">
        <f>G47*6377/1000000</f>
        <v>8.4761808600000013</v>
      </c>
      <c r="L47" s="435">
        <v>5950</v>
      </c>
      <c r="M47" s="399">
        <f>(L47-6377)/6377</f>
        <v>-6.6959385290889128E-2</v>
      </c>
      <c r="N47" s="387"/>
      <c r="O47" s="359">
        <f t="shared" si="8"/>
        <v>0</v>
      </c>
      <c r="P47" s="190">
        <v>1329.18</v>
      </c>
      <c r="Q47" s="149"/>
    </row>
    <row r="48" spans="2:18" ht="32.25" customHeight="1" thickBot="1">
      <c r="B48" s="758"/>
      <c r="C48" s="759"/>
      <c r="D48" s="477" t="s">
        <v>6</v>
      </c>
      <c r="E48" s="407">
        <f>SUM(E46:E47)</f>
        <v>58951</v>
      </c>
      <c r="F48" s="408">
        <f>SUM(F46:F47)</f>
        <v>0</v>
      </c>
      <c r="G48" s="408">
        <f>SUM(G46:G47)</f>
        <v>1329.18</v>
      </c>
      <c r="H48" s="407">
        <f>SUM(H46:H47)</f>
        <v>1063</v>
      </c>
      <c r="I48" s="408">
        <f>SUM(I46:I47)</f>
        <v>116.97</v>
      </c>
      <c r="J48" s="409"/>
      <c r="K48" s="408">
        <f>SUM(K46:K47)</f>
        <v>8.4761808600000013</v>
      </c>
      <c r="L48" s="407"/>
      <c r="M48" s="437"/>
      <c r="N48" s="384"/>
      <c r="O48" s="149"/>
      <c r="P48" s="149"/>
      <c r="Q48" s="149"/>
    </row>
    <row r="49" spans="2:17" ht="32.25" customHeight="1">
      <c r="B49" s="781">
        <v>7</v>
      </c>
      <c r="C49" s="783" t="s">
        <v>164</v>
      </c>
      <c r="D49" s="478" t="s">
        <v>225</v>
      </c>
      <c r="E49" s="396">
        <v>3730</v>
      </c>
      <c r="F49" s="397">
        <f>O49</f>
        <v>0</v>
      </c>
      <c r="G49" s="397">
        <v>3729.9830000000002</v>
      </c>
      <c r="H49" s="396">
        <v>2917</v>
      </c>
      <c r="I49" s="397">
        <v>6500</v>
      </c>
      <c r="J49" s="508" t="s">
        <v>165</v>
      </c>
      <c r="K49" s="397">
        <f>G49*6760/1000000</f>
        <v>25.214685080000002</v>
      </c>
      <c r="L49" s="396" t="s">
        <v>231</v>
      </c>
      <c r="M49" s="403"/>
      <c r="N49" s="387"/>
      <c r="O49" s="359">
        <f>G49-P49</f>
        <v>0</v>
      </c>
      <c r="P49" s="397">
        <v>3729.9830000000002</v>
      </c>
      <c r="Q49" s="149"/>
    </row>
    <row r="50" spans="2:17" ht="32.25" customHeight="1">
      <c r="B50" s="758"/>
      <c r="C50" s="759"/>
      <c r="D50" s="473" t="s">
        <v>255</v>
      </c>
      <c r="E50" s="253">
        <v>7165</v>
      </c>
      <c r="F50" s="190">
        <f>O50</f>
        <v>0</v>
      </c>
      <c r="G50" s="190">
        <v>7163.03</v>
      </c>
      <c r="H50" s="253">
        <v>3870</v>
      </c>
      <c r="I50" s="190">
        <v>0</v>
      </c>
      <c r="J50" s="509" t="s">
        <v>209</v>
      </c>
      <c r="K50" s="190">
        <f>G50*6760/1000000</f>
        <v>48.422082799999998</v>
      </c>
      <c r="L50" s="253" t="s">
        <v>231</v>
      </c>
      <c r="M50" s="399"/>
      <c r="N50" s="387"/>
      <c r="O50" s="359">
        <f>G50-P50</f>
        <v>0</v>
      </c>
      <c r="P50" s="190">
        <v>7163.03</v>
      </c>
      <c r="Q50" s="149"/>
    </row>
    <row r="51" spans="2:17" ht="32.25" customHeight="1">
      <c r="B51" s="758"/>
      <c r="C51" s="759"/>
      <c r="D51" s="473" t="s">
        <v>252</v>
      </c>
      <c r="E51" s="253">
        <v>1272</v>
      </c>
      <c r="F51" s="190">
        <f>O51</f>
        <v>0</v>
      </c>
      <c r="G51" s="190">
        <v>69.100000000000009</v>
      </c>
      <c r="H51" s="253">
        <v>132</v>
      </c>
      <c r="I51" s="190">
        <v>87.72</v>
      </c>
      <c r="J51" s="509" t="s">
        <v>241</v>
      </c>
      <c r="K51" s="190">
        <f>G51*6760/1000000</f>
        <v>0.46711600000000003</v>
      </c>
      <c r="L51" s="253">
        <v>6650</v>
      </c>
      <c r="M51" s="399">
        <f>(L51-6760)/6760</f>
        <v>-1.6272189349112426E-2</v>
      </c>
      <c r="N51" s="387"/>
      <c r="O51" s="359">
        <f>G51-P51</f>
        <v>0</v>
      </c>
      <c r="P51" s="190">
        <v>69.100000000000009</v>
      </c>
      <c r="Q51" s="149"/>
    </row>
    <row r="52" spans="2:17" ht="32.25" customHeight="1" thickBot="1">
      <c r="B52" s="782"/>
      <c r="C52" s="784"/>
      <c r="D52" s="487" t="s">
        <v>6</v>
      </c>
      <c r="E52" s="488">
        <f>SUM(E49:E51)</f>
        <v>12167</v>
      </c>
      <c r="F52" s="489">
        <f>SUM(F49:F51)</f>
        <v>0</v>
      </c>
      <c r="G52" s="489">
        <f>SUM(G49:G51)</f>
        <v>10962.112999999999</v>
      </c>
      <c r="H52" s="488">
        <f>SUM(H49:H51)</f>
        <v>6919</v>
      </c>
      <c r="I52" s="489">
        <f>SUM(I49:I51)</f>
        <v>6587.72</v>
      </c>
      <c r="J52" s="490"/>
      <c r="K52" s="489">
        <f>SUM(K49:K51)</f>
        <v>74.103883880000012</v>
      </c>
      <c r="L52" s="488"/>
      <c r="M52" s="491"/>
      <c r="N52" s="384"/>
      <c r="O52" s="149"/>
      <c r="P52" s="149"/>
      <c r="Q52" s="149"/>
    </row>
    <row r="53" spans="2:17" ht="32.25" customHeight="1">
      <c r="B53" s="758">
        <v>8</v>
      </c>
      <c r="C53" s="759" t="s">
        <v>216</v>
      </c>
      <c r="D53" s="473" t="s">
        <v>86</v>
      </c>
      <c r="E53" s="253">
        <v>3133</v>
      </c>
      <c r="F53" s="190">
        <f>O53</f>
        <v>0</v>
      </c>
      <c r="G53" s="190">
        <v>376.91999999999985</v>
      </c>
      <c r="H53" s="253">
        <v>280</v>
      </c>
      <c r="I53" s="190">
        <v>1629.68</v>
      </c>
      <c r="J53" s="509" t="s">
        <v>236</v>
      </c>
      <c r="K53" s="263">
        <f>G53*5800/1000000</f>
        <v>2.186135999999999</v>
      </c>
      <c r="L53" s="324">
        <v>4294</v>
      </c>
      <c r="M53" s="399">
        <f>(L53-5800)/5800</f>
        <v>-0.2596551724137931</v>
      </c>
      <c r="N53" s="384"/>
      <c r="O53" s="359">
        <f>G53-P53</f>
        <v>0</v>
      </c>
      <c r="P53" s="190">
        <v>376.91999999999985</v>
      </c>
      <c r="Q53" s="149"/>
    </row>
    <row r="54" spans="2:17" ht="32.25" customHeight="1" thickBot="1">
      <c r="B54" s="758"/>
      <c r="C54" s="759"/>
      <c r="D54" s="487" t="s">
        <v>6</v>
      </c>
      <c r="E54" s="407">
        <f>SUM(E53)</f>
        <v>3133</v>
      </c>
      <c r="F54" s="408">
        <f>SUM(F53)</f>
        <v>0</v>
      </c>
      <c r="G54" s="408">
        <f>SUM(G53)</f>
        <v>376.91999999999985</v>
      </c>
      <c r="H54" s="407">
        <f>SUM(H53)</f>
        <v>280</v>
      </c>
      <c r="I54" s="408">
        <f>SUM(I53)</f>
        <v>1629.68</v>
      </c>
      <c r="J54" s="409"/>
      <c r="K54" s="408">
        <f>SUM(K53)</f>
        <v>2.186135999999999</v>
      </c>
      <c r="L54" s="407"/>
      <c r="M54" s="437"/>
      <c r="N54" s="384"/>
      <c r="O54" s="149"/>
      <c r="P54" s="149"/>
      <c r="Q54" s="149"/>
    </row>
    <row r="55" spans="2:17" ht="32.25" customHeight="1" thickBot="1">
      <c r="B55" s="494"/>
      <c r="C55" s="410"/>
      <c r="D55" s="486" t="s">
        <v>5</v>
      </c>
      <c r="E55" s="411">
        <f>E52+E48+E45+E38+E18+E33+E29+E54</f>
        <v>7582537</v>
      </c>
      <c r="F55" s="412">
        <f>F52+F48+F45+F38+F18+F33+F29+F54</f>
        <v>0</v>
      </c>
      <c r="G55" s="412">
        <f>G52+G48+G45+G38+G18+G33+G29+G54</f>
        <v>1517348.3529999999</v>
      </c>
      <c r="H55" s="411">
        <f>H52+H48+H45+H38+H18+H33+H29+H54</f>
        <v>668577</v>
      </c>
      <c r="I55" s="412">
        <f>I52+I48+I45+I38+I18+I33+I29+I54</f>
        <v>3556333.4440600001</v>
      </c>
      <c r="J55" s="413"/>
      <c r="K55" s="412">
        <f>K52+K48+K45+K38+K18+K33+K29+K54</f>
        <v>8786.3032479660014</v>
      </c>
      <c r="L55" s="411"/>
      <c r="M55" s="414"/>
      <c r="N55" s="415"/>
      <c r="O55" s="359"/>
      <c r="P55" s="149"/>
      <c r="Q55" s="149"/>
    </row>
    <row r="56" spans="2:17" ht="25.5" customHeight="1" thickBot="1">
      <c r="B56" s="797" t="s">
        <v>148</v>
      </c>
      <c r="C56" s="798"/>
      <c r="D56" s="799"/>
      <c r="E56" s="511"/>
      <c r="F56" s="511"/>
      <c r="G56" s="512"/>
      <c r="H56" s="511"/>
      <c r="I56" s="513"/>
      <c r="J56" s="514"/>
      <c r="K56" s="511"/>
      <c r="L56" s="511"/>
      <c r="M56" s="515"/>
      <c r="N56" s="387"/>
      <c r="O56" s="149"/>
      <c r="P56" s="149"/>
      <c r="Q56" s="149"/>
    </row>
    <row r="57" spans="2:17" ht="32.25" customHeight="1">
      <c r="B57" s="787">
        <v>1</v>
      </c>
      <c r="C57" s="785" t="s">
        <v>149</v>
      </c>
      <c r="D57" s="496" t="s">
        <v>224</v>
      </c>
      <c r="E57" s="324">
        <v>69250</v>
      </c>
      <c r="F57" s="391">
        <f>O57</f>
        <v>0</v>
      </c>
      <c r="G57" s="391">
        <v>68108.104999999996</v>
      </c>
      <c r="H57" s="324">
        <v>58502</v>
      </c>
      <c r="I57" s="391">
        <v>50184.08</v>
      </c>
      <c r="J57" s="441" t="s">
        <v>217</v>
      </c>
      <c r="K57" s="391">
        <f>G57*12000/1000000</f>
        <v>817.29726000000005</v>
      </c>
      <c r="L57" s="324">
        <v>9450</v>
      </c>
      <c r="M57" s="452">
        <f>(L57-12000)/12000</f>
        <v>-0.21249999999999999</v>
      </c>
      <c r="N57" s="387"/>
      <c r="O57" s="359">
        <f>G57-P57</f>
        <v>0</v>
      </c>
      <c r="P57" s="391">
        <v>68108.104999999996</v>
      </c>
      <c r="Q57" s="149"/>
    </row>
    <row r="58" spans="2:17" ht="32.25" customHeight="1">
      <c r="B58" s="787"/>
      <c r="C58" s="785"/>
      <c r="D58" s="479" t="s">
        <v>251</v>
      </c>
      <c r="E58" s="253">
        <v>2000</v>
      </c>
      <c r="F58" s="190">
        <f>O58</f>
        <v>0</v>
      </c>
      <c r="G58" s="190">
        <v>6</v>
      </c>
      <c r="H58" s="253">
        <v>3</v>
      </c>
      <c r="I58" s="190"/>
      <c r="J58" s="313" t="s">
        <v>177</v>
      </c>
      <c r="K58" s="190">
        <f>G58*12000/1000000</f>
        <v>7.1999999999999995E-2</v>
      </c>
      <c r="L58" s="253">
        <v>9300</v>
      </c>
      <c r="M58" s="399">
        <f>(L58-12000)/12000</f>
        <v>-0.22500000000000001</v>
      </c>
      <c r="N58" s="387"/>
      <c r="O58" s="359">
        <f>G58-P58</f>
        <v>0</v>
      </c>
      <c r="P58" s="190">
        <v>6</v>
      </c>
      <c r="Q58" s="149"/>
    </row>
    <row r="59" spans="2:17" ht="32.25" customHeight="1">
      <c r="B59" s="787"/>
      <c r="C59" s="785"/>
      <c r="D59" s="495" t="s">
        <v>98</v>
      </c>
      <c r="E59" s="321">
        <v>3000</v>
      </c>
      <c r="F59" s="321"/>
      <c r="G59" s="336"/>
      <c r="H59" s="321"/>
      <c r="I59" s="320"/>
      <c r="J59" s="313" t="s">
        <v>207</v>
      </c>
      <c r="K59" s="320"/>
      <c r="L59" s="321">
        <v>9900</v>
      </c>
      <c r="M59" s="399">
        <f>(L59-12000)/12000</f>
        <v>-0.17499999999999999</v>
      </c>
      <c r="N59" s="387"/>
      <c r="O59" s="359"/>
      <c r="P59" s="298"/>
      <c r="Q59" s="149"/>
    </row>
    <row r="60" spans="2:17" ht="32.25" customHeight="1">
      <c r="B60" s="787"/>
      <c r="C60" s="785"/>
      <c r="D60" s="440" t="s">
        <v>95</v>
      </c>
      <c r="E60" s="321">
        <v>500</v>
      </c>
      <c r="F60" s="318"/>
      <c r="G60" s="336"/>
      <c r="H60" s="321"/>
      <c r="I60" s="320"/>
      <c r="J60" s="401" t="s">
        <v>21</v>
      </c>
      <c r="K60" s="319"/>
      <c r="L60" s="321">
        <v>0</v>
      </c>
      <c r="M60" s="438"/>
      <c r="N60" s="387"/>
      <c r="O60" s="359"/>
      <c r="P60" s="298"/>
      <c r="Q60" s="149"/>
    </row>
    <row r="61" spans="2:17" ht="32.25" customHeight="1" thickBot="1">
      <c r="B61" s="788"/>
      <c r="C61" s="786"/>
      <c r="D61" s="442" t="s">
        <v>6</v>
      </c>
      <c r="E61" s="331">
        <f>SUM(E57:E60)</f>
        <v>74750</v>
      </c>
      <c r="F61" s="332">
        <f>SUM(F57:F60)</f>
        <v>0</v>
      </c>
      <c r="G61" s="332">
        <f>SUM(G57:G60)</f>
        <v>68114.104999999996</v>
      </c>
      <c r="H61" s="331">
        <f>SUM(H57:H60)</f>
        <v>58505</v>
      </c>
      <c r="I61" s="332">
        <f>SUM(I57:I60)</f>
        <v>50184.08</v>
      </c>
      <c r="J61" s="333"/>
      <c r="K61" s="332">
        <f>SUM(K57:K60)</f>
        <v>817.36926000000005</v>
      </c>
      <c r="L61" s="331"/>
      <c r="M61" s="405"/>
      <c r="N61" s="384"/>
      <c r="O61" s="359"/>
      <c r="P61" s="298"/>
      <c r="Q61" s="149"/>
    </row>
    <row r="62" spans="2:17" ht="32.25" customHeight="1">
      <c r="B62" s="787">
        <v>2</v>
      </c>
      <c r="C62" s="719" t="s">
        <v>179</v>
      </c>
      <c r="D62" s="496" t="s">
        <v>257</v>
      </c>
      <c r="E62" s="324">
        <v>2999</v>
      </c>
      <c r="F62" s="337"/>
      <c r="G62" s="338"/>
      <c r="H62" s="324"/>
      <c r="I62" s="391"/>
      <c r="J62" s="441" t="s">
        <v>176</v>
      </c>
      <c r="K62" s="325"/>
      <c r="L62" s="324">
        <v>7800</v>
      </c>
      <c r="M62" s="399">
        <f>(L62-11160)/12000</f>
        <v>-0.28000000000000003</v>
      </c>
      <c r="N62" s="387"/>
      <c r="O62" s="359"/>
      <c r="P62" s="298"/>
      <c r="Q62" s="149"/>
    </row>
    <row r="63" spans="2:17" ht="32.25" customHeight="1">
      <c r="B63" s="787"/>
      <c r="C63" s="719"/>
      <c r="D63" s="479" t="s">
        <v>251</v>
      </c>
      <c r="E63" s="253">
        <v>88300</v>
      </c>
      <c r="F63" s="190">
        <f>O63</f>
        <v>0</v>
      </c>
      <c r="G63" s="190">
        <v>28183.65</v>
      </c>
      <c r="H63" s="253">
        <v>19506</v>
      </c>
      <c r="I63" s="190">
        <v>79003.0285</v>
      </c>
      <c r="J63" s="313" t="s">
        <v>177</v>
      </c>
      <c r="K63" s="263">
        <f>G63*11160/1000000</f>
        <v>314.52953400000001</v>
      </c>
      <c r="L63" s="253">
        <v>9300</v>
      </c>
      <c r="M63" s="399">
        <f>(L63-11160)/12000</f>
        <v>-0.155</v>
      </c>
      <c r="N63" s="387"/>
      <c r="O63" s="359">
        <f>G63-P63</f>
        <v>0</v>
      </c>
      <c r="P63" s="190">
        <v>28183.65</v>
      </c>
      <c r="Q63" s="149"/>
    </row>
    <row r="64" spans="2:17" ht="32.25" customHeight="1">
      <c r="B64" s="787"/>
      <c r="C64" s="719"/>
      <c r="D64" s="495" t="s">
        <v>98</v>
      </c>
      <c r="E64" s="321">
        <v>30000</v>
      </c>
      <c r="F64" s="190">
        <f>O64</f>
        <v>0</v>
      </c>
      <c r="G64" s="190">
        <v>0</v>
      </c>
      <c r="H64" s="253">
        <v>0</v>
      </c>
      <c r="I64" s="190">
        <v>1118.3</v>
      </c>
      <c r="J64" s="313" t="s">
        <v>207</v>
      </c>
      <c r="K64" s="190">
        <f>G64*11160/1000000</f>
        <v>0</v>
      </c>
      <c r="L64" s="253">
        <v>9900</v>
      </c>
      <c r="M64" s="399">
        <f>(L64-11160)/12000</f>
        <v>-0.105</v>
      </c>
      <c r="N64" s="387"/>
      <c r="O64" s="359">
        <f>G64-P64</f>
        <v>0</v>
      </c>
      <c r="P64" s="190">
        <v>0</v>
      </c>
      <c r="Q64" s="149"/>
    </row>
    <row r="65" spans="2:17" ht="32.25" customHeight="1">
      <c r="B65" s="787"/>
      <c r="C65" s="719"/>
      <c r="D65" s="495" t="s">
        <v>223</v>
      </c>
      <c r="E65" s="321">
        <v>8000</v>
      </c>
      <c r="F65" s="190">
        <f>O65</f>
        <v>0</v>
      </c>
      <c r="G65" s="190">
        <v>1036.8000000000002</v>
      </c>
      <c r="H65" s="253">
        <v>350</v>
      </c>
      <c r="I65" s="190">
        <v>4035.95</v>
      </c>
      <c r="J65" s="401" t="s">
        <v>235</v>
      </c>
      <c r="K65" s="190">
        <f>G65*11160/1000000</f>
        <v>11.570688000000002</v>
      </c>
      <c r="L65" s="253">
        <v>9700</v>
      </c>
      <c r="M65" s="399">
        <f>(L65-11160)/12000</f>
        <v>-0.12166666666666667</v>
      </c>
      <c r="N65" s="387"/>
      <c r="O65" s="359">
        <f>G65-P65</f>
        <v>0</v>
      </c>
      <c r="P65" s="190">
        <v>1036.8000000000002</v>
      </c>
      <c r="Q65" s="149"/>
    </row>
    <row r="66" spans="2:17" ht="32.25" customHeight="1">
      <c r="B66" s="787"/>
      <c r="C66" s="719"/>
      <c r="D66" s="440" t="s">
        <v>95</v>
      </c>
      <c r="E66" s="321">
        <v>2250</v>
      </c>
      <c r="F66" s="190"/>
      <c r="G66" s="190"/>
      <c r="H66" s="253"/>
      <c r="I66" s="190"/>
      <c r="J66" s="401" t="s">
        <v>21</v>
      </c>
      <c r="K66" s="263"/>
      <c r="L66" s="253">
        <v>0</v>
      </c>
      <c r="M66" s="400"/>
      <c r="N66" s="387"/>
      <c r="O66" s="359"/>
      <c r="P66" s="421"/>
      <c r="Q66" s="149"/>
    </row>
    <row r="67" spans="2:17" ht="32.25" customHeight="1" thickBot="1">
      <c r="B67" s="788"/>
      <c r="C67" s="796"/>
      <c r="D67" s="439" t="s">
        <v>6</v>
      </c>
      <c r="E67" s="307">
        <f>SUM(E62:E66)</f>
        <v>131549</v>
      </c>
      <c r="F67" s="308">
        <f>SUM(F62:F66)</f>
        <v>0</v>
      </c>
      <c r="G67" s="308">
        <f>SUM(G62:G66)</f>
        <v>29220.45</v>
      </c>
      <c r="H67" s="307">
        <f>SUM(H62:H66)</f>
        <v>19856</v>
      </c>
      <c r="I67" s="308">
        <f>SUM(I62:I66)</f>
        <v>84157.2785</v>
      </c>
      <c r="J67" s="307">
        <f>SUM(J62:J63)</f>
        <v>0</v>
      </c>
      <c r="K67" s="308">
        <f>SUM(K62:K66)</f>
        <v>326.10022200000003</v>
      </c>
      <c r="L67" s="307"/>
      <c r="M67" s="404"/>
      <c r="N67" s="384"/>
      <c r="O67" s="359"/>
      <c r="P67" s="298"/>
      <c r="Q67" s="149"/>
    </row>
    <row r="68" spans="2:17" ht="32.25" customHeight="1">
      <c r="B68" s="445"/>
      <c r="C68" s="446"/>
      <c r="D68" s="260" t="s">
        <v>5</v>
      </c>
      <c r="E68" s="447">
        <f t="shared" ref="E68:K68" si="9">E67+E61</f>
        <v>206299</v>
      </c>
      <c r="F68" s="448">
        <f t="shared" si="9"/>
        <v>0</v>
      </c>
      <c r="G68" s="448">
        <f t="shared" si="9"/>
        <v>97334.554999999993</v>
      </c>
      <c r="H68" s="448">
        <f t="shared" si="9"/>
        <v>78361</v>
      </c>
      <c r="I68" s="448">
        <f t="shared" si="9"/>
        <v>134341.3585</v>
      </c>
      <c r="J68" s="448">
        <f t="shared" si="9"/>
        <v>0</v>
      </c>
      <c r="K68" s="448">
        <f t="shared" si="9"/>
        <v>1143.469482</v>
      </c>
      <c r="L68" s="447"/>
      <c r="M68" s="449"/>
      <c r="N68" s="384"/>
      <c r="O68" s="149"/>
      <c r="P68" s="149"/>
      <c r="Q68" s="149"/>
    </row>
    <row r="69" spans="2:17" ht="27" customHeight="1" thickBot="1">
      <c r="B69" s="793" t="s">
        <v>230</v>
      </c>
      <c r="C69" s="794"/>
      <c r="D69" s="795"/>
      <c r="E69" s="450">
        <f>E68+E52+E48+E45+E38+E18+E33+E29+E54</f>
        <v>7788836</v>
      </c>
      <c r="F69" s="379">
        <f>F68+F55</f>
        <v>0</v>
      </c>
      <c r="G69" s="379">
        <f>G68+G52+G48+G45+G38+G18+G33+G29+G54</f>
        <v>1614682.9079999998</v>
      </c>
      <c r="H69" s="450">
        <f>H68+H52+H48+H45+H38+H18+H33+H29+H54</f>
        <v>746938</v>
      </c>
      <c r="I69" s="379">
        <f>I68+I52+I48+I45+I38+I18+I33+I29+I54</f>
        <v>3690674.8025600002</v>
      </c>
      <c r="J69" s="379">
        <f>J68+J52+J48+J45+J38+J18+J33+J29+J54</f>
        <v>0</v>
      </c>
      <c r="K69" s="379">
        <f>K68+K52+K48+K45+K38+K18+K33+K29+K54</f>
        <v>9929.7727299660019</v>
      </c>
      <c r="L69" s="450"/>
      <c r="M69" s="451"/>
      <c r="N69" s="384"/>
      <c r="O69" s="149"/>
      <c r="P69" s="149"/>
      <c r="Q69" s="149"/>
    </row>
    <row r="70" spans="2:17" ht="25.5" customHeight="1" thickBot="1">
      <c r="B70" s="776" t="s">
        <v>204</v>
      </c>
      <c r="C70" s="776"/>
      <c r="D70" s="475"/>
      <c r="E70" s="6"/>
      <c r="F70" s="6"/>
      <c r="G70" s="6"/>
      <c r="H70" s="6"/>
      <c r="I70" s="6"/>
      <c r="J70" s="6"/>
      <c r="K70" s="6"/>
      <c r="L70" s="6"/>
      <c r="M70" s="6"/>
      <c r="N70" s="6"/>
    </row>
    <row r="71" spans="2:17" ht="32.25" customHeight="1">
      <c r="B71" s="777">
        <v>1</v>
      </c>
      <c r="C71" s="779" t="s">
        <v>214</v>
      </c>
      <c r="D71" s="478" t="s">
        <v>151</v>
      </c>
      <c r="E71" s="764">
        <v>50000</v>
      </c>
      <c r="F71" s="402">
        <f>O71</f>
        <v>0</v>
      </c>
      <c r="G71" s="397">
        <v>198.34000000002192</v>
      </c>
      <c r="H71" s="396">
        <v>76</v>
      </c>
      <c r="I71" s="397"/>
      <c r="J71" s="529" t="s">
        <v>232</v>
      </c>
      <c r="K71" s="402">
        <v>1.1948615500001318</v>
      </c>
      <c r="L71" s="396">
        <v>5550</v>
      </c>
      <c r="M71" s="530">
        <f>(L71-5650)/5650</f>
        <v>-1.7699115044247787E-2</v>
      </c>
      <c r="N71" s="6"/>
      <c r="O71" s="11">
        <f>G71-P71</f>
        <v>0</v>
      </c>
      <c r="P71" s="397">
        <v>198.34000000002192</v>
      </c>
    </row>
    <row r="72" spans="2:17" ht="32.25" customHeight="1">
      <c r="B72" s="760"/>
      <c r="C72" s="762"/>
      <c r="D72" s="473" t="s">
        <v>126</v>
      </c>
      <c r="E72" s="765"/>
      <c r="F72" s="325">
        <f>O72</f>
        <v>0</v>
      </c>
      <c r="G72" s="391">
        <v>8.4499999999999993</v>
      </c>
      <c r="H72" s="324">
        <v>10</v>
      </c>
      <c r="I72" s="391"/>
      <c r="J72" s="524" t="s">
        <v>232</v>
      </c>
      <c r="K72" s="325">
        <v>5.416449999999999E-2</v>
      </c>
      <c r="L72" s="435">
        <v>6450</v>
      </c>
      <c r="M72" s="399">
        <f>(L72-5440)/5440</f>
        <v>0.18566176470588236</v>
      </c>
      <c r="N72" s="6"/>
      <c r="O72" s="11"/>
    </row>
    <row r="73" spans="2:17" ht="32.25" customHeight="1">
      <c r="B73" s="760"/>
      <c r="C73" s="762"/>
      <c r="D73" s="476" t="s">
        <v>127</v>
      </c>
      <c r="E73" s="766"/>
      <c r="F73" s="391"/>
      <c r="G73" s="391"/>
      <c r="H73" s="324"/>
      <c r="I73" s="391"/>
      <c r="J73" s="441"/>
      <c r="K73" s="325"/>
      <c r="L73" s="435">
        <v>6800</v>
      </c>
      <c r="M73" s="399">
        <f>(L73-5440)/5440</f>
        <v>0.25</v>
      </c>
      <c r="N73" s="6"/>
      <c r="O73" s="11"/>
    </row>
    <row r="74" spans="2:17" ht="32.25" customHeight="1" thickBot="1">
      <c r="B74" s="778"/>
      <c r="C74" s="780"/>
      <c r="D74" s="485" t="s">
        <v>6</v>
      </c>
      <c r="E74" s="331"/>
      <c r="F74" s="332">
        <f>SUM(F71:F73)</f>
        <v>0</v>
      </c>
      <c r="G74" s="332">
        <f>SUM(G71:G73)</f>
        <v>206.79000000002191</v>
      </c>
      <c r="H74" s="331">
        <f>SUM(H71:H73)</f>
        <v>86</v>
      </c>
      <c r="I74" s="332"/>
      <c r="J74" s="333"/>
      <c r="K74" s="332">
        <f>SUM(K71:K73)</f>
        <v>1.2490260500001318</v>
      </c>
      <c r="L74" s="331"/>
      <c r="M74" s="405"/>
      <c r="N74" s="6"/>
    </row>
    <row r="75" spans="2:17" ht="32.25" customHeight="1" thickBot="1">
      <c r="B75" s="774" t="s">
        <v>156</v>
      </c>
      <c r="C75" s="775"/>
      <c r="D75" s="525"/>
      <c r="E75" s="526"/>
      <c r="F75" s="527"/>
      <c r="G75" s="527"/>
      <c r="H75" s="526"/>
      <c r="I75" s="526"/>
      <c r="J75" s="528"/>
      <c r="K75" s="527"/>
      <c r="L75" s="531"/>
      <c r="M75" s="531"/>
      <c r="N75" s="384"/>
    </row>
    <row r="76" spans="2:17" ht="32.25" customHeight="1">
      <c r="B76" s="772">
        <v>1</v>
      </c>
      <c r="C76" s="711" t="s">
        <v>213</v>
      </c>
      <c r="D76" s="532" t="s">
        <v>223</v>
      </c>
      <c r="E76" s="790">
        <v>200000</v>
      </c>
      <c r="F76" s="402">
        <f t="shared" ref="F76:F81" si="10">O76</f>
        <v>0</v>
      </c>
      <c r="G76" s="533">
        <v>3124.625</v>
      </c>
      <c r="H76" s="534">
        <v>992</v>
      </c>
      <c r="I76" s="535"/>
      <c r="J76" s="536" t="s">
        <v>233</v>
      </c>
      <c r="K76" s="402">
        <v>30.756900000000002</v>
      </c>
      <c r="L76" s="537">
        <v>11500</v>
      </c>
      <c r="M76" s="530">
        <f t="shared" ref="M76:M81" si="11">(L76-7000)/7000</f>
        <v>0.6428571428571429</v>
      </c>
      <c r="N76" s="390"/>
      <c r="O76" s="11">
        <f t="shared" ref="O76:O81" si="12">G76-P76</f>
        <v>0</v>
      </c>
      <c r="P76" s="393">
        <v>3124.625</v>
      </c>
    </row>
    <row r="77" spans="2:17" ht="32.25" customHeight="1">
      <c r="B77" s="751"/>
      <c r="C77" s="712"/>
      <c r="D77" s="256" t="s">
        <v>224</v>
      </c>
      <c r="E77" s="791"/>
      <c r="F77" s="263">
        <f t="shared" si="10"/>
        <v>0</v>
      </c>
      <c r="G77" s="394">
        <v>191.4</v>
      </c>
      <c r="H77" s="416">
        <v>100</v>
      </c>
      <c r="I77" s="348"/>
      <c r="J77" s="264" t="s">
        <v>233</v>
      </c>
      <c r="K77" s="263">
        <v>1.9741763000000001</v>
      </c>
      <c r="L77" s="497">
        <v>11509</v>
      </c>
      <c r="M77" s="452">
        <f t="shared" si="11"/>
        <v>0.64414285714285713</v>
      </c>
      <c r="N77" s="390"/>
      <c r="O77" s="11">
        <f t="shared" si="12"/>
        <v>0</v>
      </c>
      <c r="P77" s="394">
        <v>191.4</v>
      </c>
    </row>
    <row r="78" spans="2:17" ht="32.25" customHeight="1">
      <c r="B78" s="751"/>
      <c r="C78" s="712"/>
      <c r="D78" s="256" t="s">
        <v>225</v>
      </c>
      <c r="E78" s="791"/>
      <c r="F78" s="263">
        <f t="shared" si="10"/>
        <v>0</v>
      </c>
      <c r="G78" s="394">
        <v>675.01800000000003</v>
      </c>
      <c r="H78" s="416">
        <v>662</v>
      </c>
      <c r="I78" s="348"/>
      <c r="J78" s="524" t="s">
        <v>201</v>
      </c>
      <c r="K78" s="263">
        <v>6.8591999999999995</v>
      </c>
      <c r="L78" s="497">
        <v>12200</v>
      </c>
      <c r="M78" s="452">
        <f t="shared" si="11"/>
        <v>0.74285714285714288</v>
      </c>
      <c r="N78" s="390"/>
      <c r="O78" s="11">
        <f t="shared" si="12"/>
        <v>0</v>
      </c>
      <c r="P78" s="394">
        <v>675.01800000000003</v>
      </c>
    </row>
    <row r="79" spans="2:17" ht="32.25" customHeight="1">
      <c r="B79" s="751"/>
      <c r="C79" s="712"/>
      <c r="D79" s="256" t="s">
        <v>226</v>
      </c>
      <c r="E79" s="791"/>
      <c r="F79" s="263">
        <f t="shared" si="10"/>
        <v>0</v>
      </c>
      <c r="G79" s="394">
        <v>21699.705460000001</v>
      </c>
      <c r="H79" s="416">
        <v>7302</v>
      </c>
      <c r="I79" s="348"/>
      <c r="J79" s="524" t="s">
        <v>206</v>
      </c>
      <c r="K79" s="263">
        <v>227.5926619</v>
      </c>
      <c r="L79" s="497">
        <v>12500</v>
      </c>
      <c r="M79" s="452">
        <f t="shared" si="11"/>
        <v>0.7857142857142857</v>
      </c>
      <c r="N79" s="390"/>
      <c r="O79" s="11">
        <f t="shared" si="12"/>
        <v>0</v>
      </c>
      <c r="P79" s="394">
        <v>21699.705460000001</v>
      </c>
    </row>
    <row r="80" spans="2:17" ht="32.25" customHeight="1">
      <c r="B80" s="751"/>
      <c r="C80" s="712"/>
      <c r="D80" s="256" t="s">
        <v>227</v>
      </c>
      <c r="E80" s="791"/>
      <c r="F80" s="263">
        <f t="shared" si="10"/>
        <v>0</v>
      </c>
      <c r="G80" s="394">
        <v>54.95</v>
      </c>
      <c r="H80" s="416">
        <v>46</v>
      </c>
      <c r="I80" s="348"/>
      <c r="J80" s="264" t="s">
        <v>233</v>
      </c>
      <c r="K80" s="263">
        <v>0.56487947249999992</v>
      </c>
      <c r="L80" s="497">
        <v>11650</v>
      </c>
      <c r="M80" s="452">
        <f t="shared" si="11"/>
        <v>0.66428571428571426</v>
      </c>
      <c r="N80" s="390"/>
      <c r="O80" s="11">
        <f t="shared" si="12"/>
        <v>0</v>
      </c>
      <c r="P80" s="394">
        <v>54.95</v>
      </c>
    </row>
    <row r="81" spans="2:17" ht="32.25" customHeight="1" thickBot="1">
      <c r="B81" s="773"/>
      <c r="C81" s="713"/>
      <c r="D81" s="538" t="s">
        <v>229</v>
      </c>
      <c r="E81" s="792"/>
      <c r="F81" s="539">
        <f t="shared" si="10"/>
        <v>0</v>
      </c>
      <c r="G81" s="540">
        <v>386.75</v>
      </c>
      <c r="H81" s="541">
        <v>102</v>
      </c>
      <c r="I81" s="542"/>
      <c r="J81" s="378" t="s">
        <v>233</v>
      </c>
      <c r="K81" s="539">
        <v>3.8542000000000001</v>
      </c>
      <c r="L81" s="543">
        <v>11400</v>
      </c>
      <c r="M81" s="434">
        <f t="shared" si="11"/>
        <v>0.62857142857142856</v>
      </c>
      <c r="N81" s="390"/>
      <c r="O81" s="11">
        <f t="shared" si="12"/>
        <v>0</v>
      </c>
      <c r="P81" s="394">
        <v>386.75</v>
      </c>
    </row>
    <row r="82" spans="2:17" ht="32.25" customHeight="1" thickBot="1">
      <c r="B82" s="453"/>
      <c r="C82" s="454"/>
      <c r="D82" s="474" t="s">
        <v>6</v>
      </c>
      <c r="E82" s="455"/>
      <c r="F82" s="456">
        <f>SUM(F76:F81)</f>
        <v>0</v>
      </c>
      <c r="G82" s="456">
        <f>SUM(G76:G81)</f>
        <v>26132.448460000003</v>
      </c>
      <c r="H82" s="455">
        <f>SUM(H76:H81)</f>
        <v>9204</v>
      </c>
      <c r="I82" s="455"/>
      <c r="J82" s="457"/>
      <c r="K82" s="456">
        <f>SUM(K76:K81)</f>
        <v>271.60201767250004</v>
      </c>
      <c r="L82" s="498"/>
      <c r="M82" s="458"/>
      <c r="N82" s="384"/>
      <c r="O82" s="295">
        <f>SUM(O76:O81)</f>
        <v>0</v>
      </c>
      <c r="P82" s="377">
        <f>SUM(P76:P81)</f>
        <v>26132.448460000003</v>
      </c>
    </row>
    <row r="83" spans="2:17" ht="32.25" customHeight="1">
      <c r="B83" s="755" t="s">
        <v>228</v>
      </c>
      <c r="C83" s="755"/>
      <c r="D83" s="755"/>
      <c r="E83" s="755"/>
      <c r="F83" s="505"/>
      <c r="G83" s="505"/>
      <c r="H83" s="505"/>
      <c r="I83" s="384"/>
      <c r="J83" s="502"/>
      <c r="K83" s="415"/>
      <c r="L83" s="503"/>
      <c r="M83" s="384"/>
      <c r="N83" s="384"/>
      <c r="O83" s="504"/>
      <c r="P83" s="415"/>
    </row>
    <row r="84" spans="2:17" ht="20.25">
      <c r="D84" s="22"/>
      <c r="E84" s="26"/>
      <c r="F84" s="26"/>
      <c r="G84" s="27"/>
      <c r="H84" s="26"/>
      <c r="I84" s="26"/>
      <c r="L84" s="26"/>
      <c r="M84" s="26"/>
      <c r="N84" s="26"/>
      <c r="O84" s="149"/>
      <c r="P84" s="149"/>
      <c r="Q84" s="149"/>
    </row>
    <row r="85" spans="2:17" ht="37.5" customHeight="1">
      <c r="C85" s="492" t="s">
        <v>111</v>
      </c>
      <c r="D85" s="492" t="s">
        <v>106</v>
      </c>
      <c r="E85" s="493" t="s">
        <v>135</v>
      </c>
      <c r="F85" s="493" t="s">
        <v>107</v>
      </c>
      <c r="G85" s="493" t="s">
        <v>138</v>
      </c>
      <c r="H85" s="10"/>
      <c r="I85" s="10"/>
      <c r="L85" s="422"/>
      <c r="M85" s="10"/>
      <c r="N85" s="10"/>
    </row>
    <row r="86" spans="2:17" ht="18.75" thickBot="1">
      <c r="C86" s="230" t="s">
        <v>205</v>
      </c>
      <c r="E86" s="10"/>
    </row>
    <row r="87" spans="2:17" ht="36">
      <c r="C87" s="470" t="s">
        <v>157</v>
      </c>
      <c r="D87" s="32">
        <f>E29+E33+E18+E38</f>
        <v>4662136</v>
      </c>
      <c r="E87" s="304">
        <f>G29+G33+G18+G38</f>
        <v>297353.91699999996</v>
      </c>
      <c r="F87" s="32">
        <f>H29+H33</f>
        <v>132316</v>
      </c>
      <c r="G87" s="304">
        <f>K29+K33+K18+K38</f>
        <v>1880.143887276</v>
      </c>
    </row>
    <row r="88" spans="2:17" ht="54.75" thickBot="1">
      <c r="C88" s="471" t="s">
        <v>178</v>
      </c>
      <c r="D88" s="351">
        <f>E45+E48+E52+E54</f>
        <v>2920401</v>
      </c>
      <c r="E88" s="352">
        <f>G45+G48+G52+G54</f>
        <v>1219994.4359999998</v>
      </c>
      <c r="F88" s="351">
        <f>H45+H48+H52+H18+H38+H54</f>
        <v>536261</v>
      </c>
      <c r="G88" s="352">
        <f>K45+K48+K52+K54</f>
        <v>6906.1593606900005</v>
      </c>
    </row>
    <row r="89" spans="2:17" ht="30" customHeight="1" thickBot="1">
      <c r="C89" s="353" t="s">
        <v>38</v>
      </c>
      <c r="D89" s="354">
        <f>SUM(D87:D88)</f>
        <v>7582537</v>
      </c>
      <c r="E89" s="355">
        <f>SUM(E87:E88)</f>
        <v>1517348.3529999997</v>
      </c>
      <c r="F89" s="354">
        <f>SUM(F87:F88)</f>
        <v>668577</v>
      </c>
      <c r="G89" s="355">
        <f>SUM(G87:G88)</f>
        <v>8786.3032479659996</v>
      </c>
    </row>
    <row r="90" spans="2:17" ht="36.75" thickBot="1">
      <c r="C90" s="472" t="s">
        <v>148</v>
      </c>
      <c r="D90" s="280">
        <f>E68</f>
        <v>206299</v>
      </c>
      <c r="E90" s="360">
        <f>G68</f>
        <v>97334.554999999993</v>
      </c>
      <c r="F90" s="280">
        <f>H68</f>
        <v>78361</v>
      </c>
      <c r="G90" s="360">
        <f>K68</f>
        <v>1143.469482</v>
      </c>
      <c r="J90" s="21"/>
    </row>
    <row r="91" spans="2:17" ht="28.5" customHeight="1" thickBot="1">
      <c r="C91" s="356" t="s">
        <v>6</v>
      </c>
      <c r="D91" s="354">
        <f>D90+D89</f>
        <v>7788836</v>
      </c>
      <c r="E91" s="355">
        <f>E90+E89</f>
        <v>1614682.9079999996</v>
      </c>
      <c r="F91" s="354">
        <f>F90+F89</f>
        <v>746938</v>
      </c>
      <c r="G91" s="355">
        <f>G90+G89</f>
        <v>9929.772729966</v>
      </c>
      <c r="J91" s="149"/>
    </row>
    <row r="92" spans="2:17">
      <c r="J92" s="21"/>
    </row>
    <row r="93" spans="2:17" ht="18" hidden="1">
      <c r="B93" s="230" t="s">
        <v>203</v>
      </c>
    </row>
    <row r="94" spans="2:17" ht="18" hidden="1">
      <c r="B94" s="230" t="s">
        <v>198</v>
      </c>
    </row>
    <row r="95" spans="2:17" ht="18" hidden="1">
      <c r="B95" s="230" t="s">
        <v>202</v>
      </c>
    </row>
    <row r="96" spans="2:17" ht="23.25">
      <c r="B96" s="565"/>
      <c r="F96" s="10"/>
    </row>
    <row r="97" spans="5:10">
      <c r="J97" s="3"/>
    </row>
    <row r="99" spans="5:10">
      <c r="J99" s="3"/>
    </row>
    <row r="100" spans="5:10">
      <c r="E100" s="11"/>
    </row>
    <row r="103" spans="5:10">
      <c r="E103" s="11"/>
    </row>
    <row r="106" spans="5:10">
      <c r="H106" s="3"/>
    </row>
    <row r="108" spans="5:10">
      <c r="H108" s="3"/>
    </row>
  </sheetData>
  <mergeCells count="41">
    <mergeCell ref="B2:M2"/>
    <mergeCell ref="C46:C48"/>
    <mergeCell ref="B30:B33"/>
    <mergeCell ref="C30:C33"/>
    <mergeCell ref="B15:B18"/>
    <mergeCell ref="C15:C18"/>
    <mergeCell ref="C19:C29"/>
    <mergeCell ref="B19:B29"/>
    <mergeCell ref="B5:C5"/>
    <mergeCell ref="B34:B38"/>
    <mergeCell ref="C34:C38"/>
    <mergeCell ref="B39:B45"/>
    <mergeCell ref="C39:C45"/>
    <mergeCell ref="B46:B48"/>
    <mergeCell ref="B3:D3"/>
    <mergeCell ref="E76:E81"/>
    <mergeCell ref="B69:D69"/>
    <mergeCell ref="C62:C67"/>
    <mergeCell ref="B62:B67"/>
    <mergeCell ref="B56:D56"/>
    <mergeCell ref="B49:B52"/>
    <mergeCell ref="C49:C52"/>
    <mergeCell ref="C57:C61"/>
    <mergeCell ref="B57:B61"/>
    <mergeCell ref="O4:P4"/>
    <mergeCell ref="B1:K1"/>
    <mergeCell ref="B83:E83"/>
    <mergeCell ref="C6:C10"/>
    <mergeCell ref="B53:B54"/>
    <mergeCell ref="C53:C54"/>
    <mergeCell ref="B11:B12"/>
    <mergeCell ref="C11:C12"/>
    <mergeCell ref="E71:E73"/>
    <mergeCell ref="B14:C14"/>
    <mergeCell ref="B6:B10"/>
    <mergeCell ref="C76:C81"/>
    <mergeCell ref="B76:B81"/>
    <mergeCell ref="B75:C75"/>
    <mergeCell ref="B70:C70"/>
    <mergeCell ref="B71:B74"/>
    <mergeCell ref="C71:C74"/>
  </mergeCells>
  <pageMargins left="0.43307086614173229" right="0.28000000000000003" top="0.26" bottom="0.15" header="0.13" footer="0.04"/>
  <pageSetup paperSize="9" scale="54" fitToHeight="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B1:O19"/>
  <sheetViews>
    <sheetView zoomScale="80" zoomScaleNormal="80" zoomScaleSheetLayoutView="85" workbookViewId="0">
      <selection activeCell="F15" sqref="F15"/>
    </sheetView>
  </sheetViews>
  <sheetFormatPr defaultColWidth="9.140625" defaultRowHeight="15"/>
  <cols>
    <col min="1" max="1" width="9.140625" style="1"/>
    <col min="2" max="2" width="6.140625" style="1" customWidth="1"/>
    <col min="3" max="3" width="15.5703125" style="1" bestFit="1" customWidth="1"/>
    <col min="4" max="4" width="21" style="1" customWidth="1"/>
    <col min="5" max="5" width="16.7109375" style="1" customWidth="1"/>
    <col min="6" max="6" width="16.5703125" style="1" customWidth="1"/>
    <col min="7" max="7" width="17.7109375" style="1" customWidth="1"/>
    <col min="8" max="8" width="14.140625" style="1" customWidth="1"/>
    <col min="9" max="9" width="12.85546875" style="1" customWidth="1"/>
    <col min="10" max="10" width="28.5703125" style="1" customWidth="1"/>
    <col min="11" max="11" width="14.28515625" style="1" customWidth="1"/>
    <col min="12" max="12" width="17" style="1" customWidth="1"/>
    <col min="13" max="13" width="18" style="1" customWidth="1"/>
    <col min="14" max="14" width="20.28515625" style="1" customWidth="1"/>
    <col min="15" max="15" width="10.5703125" style="1" bestFit="1" customWidth="1"/>
    <col min="16" max="16384" width="9.140625" style="1"/>
  </cols>
  <sheetData>
    <row r="1" spans="2:15" ht="19.5" customHeight="1">
      <c r="D1" s="9"/>
      <c r="E1" s="9"/>
      <c r="F1" s="9"/>
    </row>
    <row r="2" spans="2:15" ht="33" customHeight="1">
      <c r="B2" s="744" t="s">
        <v>194</v>
      </c>
      <c r="C2" s="744"/>
      <c r="D2" s="744"/>
      <c r="E2" s="744"/>
      <c r="F2" s="744"/>
      <c r="G2" s="744"/>
      <c r="H2" s="744"/>
      <c r="I2" s="744"/>
      <c r="J2" s="744"/>
      <c r="K2" s="744"/>
      <c r="L2" s="364"/>
    </row>
    <row r="3" spans="2:15" ht="24.75" customHeight="1" thickBot="1">
      <c r="B3" s="817">
        <f>'Consolidated Rabi -2024'!B3:C3</f>
        <v>0</v>
      </c>
      <c r="C3" s="813"/>
      <c r="H3" s="250"/>
      <c r="I3" s="250"/>
      <c r="J3" s="268" t="s">
        <v>136</v>
      </c>
      <c r="L3" s="268"/>
    </row>
    <row r="4" spans="2:15" ht="72.75" thickBot="1">
      <c r="B4" s="292" t="s">
        <v>132</v>
      </c>
      <c r="C4" s="418" t="s">
        <v>0</v>
      </c>
      <c r="D4" s="369" t="s">
        <v>1</v>
      </c>
      <c r="E4" s="362" t="s">
        <v>210</v>
      </c>
      <c r="F4" s="382" t="s">
        <v>131</v>
      </c>
      <c r="G4" s="362" t="s">
        <v>135</v>
      </c>
      <c r="H4" s="362" t="s">
        <v>24</v>
      </c>
      <c r="I4" s="417" t="s">
        <v>195</v>
      </c>
      <c r="J4" s="362" t="s">
        <v>88</v>
      </c>
      <c r="K4" s="362" t="s">
        <v>138</v>
      </c>
      <c r="L4" s="383"/>
    </row>
    <row r="5" spans="2:15" ht="30" customHeight="1">
      <c r="B5" s="419">
        <v>1</v>
      </c>
      <c r="C5" s="814" t="s">
        <v>196</v>
      </c>
      <c r="D5" s="395" t="s">
        <v>151</v>
      </c>
      <c r="E5" s="396">
        <v>416288</v>
      </c>
      <c r="F5" s="397">
        <f>'Consolidated Rabi -2024'!F39</f>
        <v>0</v>
      </c>
      <c r="G5" s="397">
        <f>'Consolidated Rabi -2024'!G39</f>
        <v>358649.99</v>
      </c>
      <c r="H5" s="396">
        <f>'Consolidated Rabi -2024'!H39</f>
        <v>98105</v>
      </c>
      <c r="I5" s="396">
        <v>893</v>
      </c>
      <c r="J5" s="398" t="s">
        <v>167</v>
      </c>
      <c r="K5" s="402">
        <f t="shared" ref="K5:K10" si="0">G5*5650/1000000</f>
        <v>2026.3724434999999</v>
      </c>
      <c r="L5" s="387"/>
      <c r="M5" s="359">
        <f t="shared" ref="M5:M10" si="1">G5-N5</f>
        <v>0</v>
      </c>
      <c r="N5" s="397">
        <f>'Consolidated Rabi -2024'!P39</f>
        <v>358649.99</v>
      </c>
      <c r="O5" s="149"/>
    </row>
    <row r="6" spans="2:15" ht="30" customHeight="1">
      <c r="B6" s="419">
        <v>2</v>
      </c>
      <c r="C6" s="815"/>
      <c r="D6" s="301" t="s">
        <v>119</v>
      </c>
      <c r="E6" s="253">
        <v>436588</v>
      </c>
      <c r="F6" s="190">
        <f>'Consolidated Rabi -2024'!F40</f>
        <v>0</v>
      </c>
      <c r="G6" s="190">
        <f>'Consolidated Rabi -2024'!G40</f>
        <v>45047.061999999998</v>
      </c>
      <c r="H6" s="253">
        <f>'Consolidated Rabi -2024'!H40</f>
        <v>20354</v>
      </c>
      <c r="I6" s="253">
        <v>75</v>
      </c>
      <c r="J6" s="314" t="s">
        <v>166</v>
      </c>
      <c r="K6" s="263">
        <f t="shared" si="0"/>
        <v>254.51590029999997</v>
      </c>
      <c r="L6" s="387"/>
      <c r="M6" s="359">
        <f t="shared" si="1"/>
        <v>0</v>
      </c>
      <c r="N6" s="190">
        <f>'Consolidated Rabi -2024'!P40</f>
        <v>45047.061999999998</v>
      </c>
      <c r="O6" s="149"/>
    </row>
    <row r="7" spans="2:15" ht="30" customHeight="1">
      <c r="B7" s="419">
        <v>3</v>
      </c>
      <c r="C7" s="815"/>
      <c r="D7" s="301" t="s">
        <v>90</v>
      </c>
      <c r="E7" s="253">
        <v>150905</v>
      </c>
      <c r="F7" s="190">
        <f>'Consolidated Rabi -2024'!F41</f>
        <v>0</v>
      </c>
      <c r="G7" s="190">
        <f>'Consolidated Rabi -2024'!G41</f>
        <v>115225.80100000001</v>
      </c>
      <c r="H7" s="253">
        <f>'Consolidated Rabi -2024'!H41</f>
        <v>60068</v>
      </c>
      <c r="I7" s="253">
        <v>109</v>
      </c>
      <c r="J7" s="314" t="s">
        <v>166</v>
      </c>
      <c r="K7" s="263">
        <f t="shared" si="0"/>
        <v>651.02577565000013</v>
      </c>
      <c r="L7" s="387"/>
      <c r="M7" s="359">
        <f t="shared" si="1"/>
        <v>0</v>
      </c>
      <c r="N7" s="190">
        <f>'Consolidated Rabi -2024'!P41</f>
        <v>115225.80100000001</v>
      </c>
      <c r="O7" s="149"/>
    </row>
    <row r="8" spans="2:15" ht="30" customHeight="1">
      <c r="B8" s="419">
        <v>4</v>
      </c>
      <c r="C8" s="815"/>
      <c r="D8" s="301" t="s">
        <v>110</v>
      </c>
      <c r="E8" s="253">
        <v>325938</v>
      </c>
      <c r="F8" s="190">
        <f>'Consolidated Rabi -2024'!F42</f>
        <v>0</v>
      </c>
      <c r="G8" s="190">
        <f>'Consolidated Rabi -2024'!G42</f>
        <v>325938.06</v>
      </c>
      <c r="H8" s="253">
        <f>'Consolidated Rabi -2024'!H42</f>
        <v>172874</v>
      </c>
      <c r="I8" s="253">
        <v>107</v>
      </c>
      <c r="J8" s="314" t="s">
        <v>169</v>
      </c>
      <c r="K8" s="263">
        <f t="shared" si="0"/>
        <v>1841.550039</v>
      </c>
      <c r="L8" s="387"/>
      <c r="M8" s="359">
        <f t="shared" si="1"/>
        <v>0</v>
      </c>
      <c r="N8" s="190">
        <f>'Consolidated Rabi -2024'!P42</f>
        <v>325938.06</v>
      </c>
      <c r="O8" s="149"/>
    </row>
    <row r="9" spans="2:15" ht="39.75" customHeight="1">
      <c r="B9" s="419">
        <v>5</v>
      </c>
      <c r="C9" s="815"/>
      <c r="D9" s="301" t="s">
        <v>126</v>
      </c>
      <c r="E9" s="253">
        <v>1458118</v>
      </c>
      <c r="F9" s="190">
        <f>'Consolidated Rabi -2024'!F43</f>
        <v>0</v>
      </c>
      <c r="G9" s="190">
        <f>'Consolidated Rabi -2024'!G43</f>
        <v>351363.26</v>
      </c>
      <c r="H9" s="253">
        <f>'Consolidated Rabi -2024'!H43</f>
        <v>167005</v>
      </c>
      <c r="I9" s="253">
        <v>526</v>
      </c>
      <c r="J9" s="392" t="s">
        <v>193</v>
      </c>
      <c r="K9" s="263">
        <f t="shared" si="0"/>
        <v>1985.202419</v>
      </c>
      <c r="L9" s="387"/>
      <c r="M9" s="359">
        <f t="shared" si="1"/>
        <v>0</v>
      </c>
      <c r="N9" s="190">
        <f>'Consolidated Rabi -2024'!P43</f>
        <v>351363.26</v>
      </c>
      <c r="O9" s="149"/>
    </row>
    <row r="10" spans="2:15" ht="29.25" customHeight="1">
      <c r="B10" s="419">
        <v>6</v>
      </c>
      <c r="C10" s="815"/>
      <c r="D10" s="301" t="s">
        <v>159</v>
      </c>
      <c r="E10" s="253">
        <v>58313</v>
      </c>
      <c r="F10" s="190">
        <f>'Consolidated Rabi -2024'!F44</f>
        <v>0</v>
      </c>
      <c r="G10" s="190">
        <f>'Consolidated Rabi -2024'!G44</f>
        <v>11102.05</v>
      </c>
      <c r="H10" s="253">
        <f>'Consolidated Rabi -2024'!H44</f>
        <v>3540</v>
      </c>
      <c r="I10" s="253">
        <v>71</v>
      </c>
      <c r="J10" s="314" t="s">
        <v>215</v>
      </c>
      <c r="K10" s="263">
        <f t="shared" si="0"/>
        <v>62.726582499999992</v>
      </c>
      <c r="L10" s="387"/>
      <c r="M10" s="359">
        <f t="shared" si="1"/>
        <v>0</v>
      </c>
      <c r="N10" s="190">
        <f>'Consolidated Rabi -2024'!P44</f>
        <v>11102.05</v>
      </c>
      <c r="O10" s="149"/>
    </row>
    <row r="11" spans="2:15" ht="30" customHeight="1" thickBot="1">
      <c r="B11" s="419"/>
      <c r="C11" s="816"/>
      <c r="D11" s="330" t="s">
        <v>6</v>
      </c>
      <c r="E11" s="331">
        <f>SUM(E5:E10)</f>
        <v>2846150</v>
      </c>
      <c r="F11" s="332">
        <f>SUM(F5:F10)</f>
        <v>0</v>
      </c>
      <c r="G11" s="332">
        <f>SUM(G5:G10)</f>
        <v>1207326.223</v>
      </c>
      <c r="H11" s="331">
        <f>SUM(H5:H10)</f>
        <v>521946</v>
      </c>
      <c r="I11" s="331">
        <f>SUM(I5:I10)</f>
        <v>1781</v>
      </c>
      <c r="J11" s="333"/>
      <c r="K11" s="332">
        <f>SUM(K5:K10)</f>
        <v>6821.3931599500002</v>
      </c>
      <c r="L11" s="384"/>
      <c r="M11" s="149"/>
      <c r="N11" s="359">
        <f>SUM(N5:N10)</f>
        <v>1207326.223</v>
      </c>
      <c r="O11" s="149"/>
    </row>
    <row r="17" spans="10:10">
      <c r="J17" s="3">
        <v>45369</v>
      </c>
    </row>
    <row r="18" spans="10:10">
      <c r="J18" s="1">
        <v>89</v>
      </c>
    </row>
    <row r="19" spans="10:10">
      <c r="J19" s="3">
        <f>J17+J18</f>
        <v>45458</v>
      </c>
    </row>
  </sheetData>
  <mergeCells count="3">
    <mergeCell ref="C5:C11"/>
    <mergeCell ref="B2:K2"/>
    <mergeCell ref="B3:C3"/>
  </mergeCells>
  <pageMargins left="0.16" right="0.22" top="0.23622047244094491" bottom="1.8" header="0.16" footer="0.25"/>
  <pageSetup paperSize="9" scale="61"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I81"/>
  <sheetViews>
    <sheetView tabSelected="1" zoomScale="66" zoomScaleNormal="66" zoomScaleSheetLayoutView="85" workbookViewId="0">
      <selection activeCell="J7" sqref="J7"/>
    </sheetView>
  </sheetViews>
  <sheetFormatPr defaultColWidth="9.140625" defaultRowHeight="15"/>
  <cols>
    <col min="1" max="1" width="9.140625" style="1"/>
    <col min="2" max="2" width="8.28515625" style="1" customWidth="1"/>
    <col min="3" max="3" width="18.5703125" style="1" customWidth="1"/>
    <col min="4" max="4" width="23.5703125" style="1" customWidth="1"/>
    <col min="5" max="5" width="21.42578125" style="1" customWidth="1"/>
    <col min="6" max="6" width="29.85546875" style="1" customWidth="1"/>
    <col min="7" max="16384" width="9.140625" style="1"/>
  </cols>
  <sheetData>
    <row r="1" spans="2:6" ht="27.75" customHeight="1">
      <c r="B1" s="818" t="s">
        <v>292</v>
      </c>
      <c r="C1" s="818"/>
      <c r="D1" s="818"/>
      <c r="E1" s="818"/>
      <c r="F1" s="818"/>
    </row>
    <row r="2" spans="2:6" ht="33" customHeight="1">
      <c r="B2" s="800" t="s">
        <v>291</v>
      </c>
      <c r="C2" s="800"/>
      <c r="D2" s="800"/>
      <c r="E2" s="800"/>
      <c r="F2" s="800"/>
    </row>
    <row r="3" spans="2:6" ht="24.75" customHeight="1" thickBot="1">
      <c r="B3" s="577" t="s">
        <v>343</v>
      </c>
      <c r="C3" s="577"/>
      <c r="D3" s="828" t="s">
        <v>136</v>
      </c>
      <c r="E3" s="828"/>
    </row>
    <row r="4" spans="2:6" ht="73.5" customHeight="1" thickBot="1">
      <c r="B4" s="604" t="s">
        <v>132</v>
      </c>
      <c r="C4" s="228" t="s">
        <v>0</v>
      </c>
      <c r="D4" s="228" t="s">
        <v>1</v>
      </c>
      <c r="E4" s="228" t="s">
        <v>135</v>
      </c>
      <c r="F4" s="228" t="s">
        <v>88</v>
      </c>
    </row>
    <row r="5" spans="2:6" ht="21" customHeight="1" thickBot="1">
      <c r="B5" s="819" t="s">
        <v>237</v>
      </c>
      <c r="C5" s="820"/>
      <c r="D5" s="618"/>
      <c r="E5" s="619"/>
      <c r="F5" s="620"/>
    </row>
    <row r="6" spans="2:6" s="647" customFormat="1" ht="38.25" customHeight="1">
      <c r="B6" s="833">
        <v>1</v>
      </c>
      <c r="C6" s="830" t="s">
        <v>261</v>
      </c>
      <c r="D6" s="867" t="s">
        <v>101</v>
      </c>
      <c r="E6" s="397">
        <v>44107.95</v>
      </c>
      <c r="F6" s="629" t="s">
        <v>313</v>
      </c>
    </row>
    <row r="7" spans="2:6" s="647" customFormat="1" ht="38.25" customHeight="1">
      <c r="B7" s="834"/>
      <c r="C7" s="831"/>
      <c r="D7" s="630" t="s">
        <v>123</v>
      </c>
      <c r="E7" s="391">
        <v>8010.35</v>
      </c>
      <c r="F7" s="633" t="s">
        <v>342</v>
      </c>
    </row>
    <row r="8" spans="2:6" s="647" customFormat="1" ht="38.25" customHeight="1">
      <c r="B8" s="834"/>
      <c r="C8" s="831"/>
      <c r="D8" s="639" t="s">
        <v>86</v>
      </c>
      <c r="E8" s="190">
        <v>125273.05600000001</v>
      </c>
      <c r="F8" s="631" t="s">
        <v>337</v>
      </c>
    </row>
    <row r="9" spans="2:6" s="647" customFormat="1" ht="38.25" customHeight="1">
      <c r="B9" s="834"/>
      <c r="C9" s="831"/>
      <c r="D9" s="639" t="s">
        <v>127</v>
      </c>
      <c r="E9" s="190">
        <v>36257.483000000007</v>
      </c>
      <c r="F9" s="631" t="s">
        <v>330</v>
      </c>
    </row>
    <row r="10" spans="2:6" s="647" customFormat="1" ht="38.25" customHeight="1">
      <c r="B10" s="834"/>
      <c r="C10" s="831"/>
      <c r="D10" s="639" t="s">
        <v>90</v>
      </c>
      <c r="E10" s="190">
        <v>48865.539899999996</v>
      </c>
      <c r="F10" s="631" t="s">
        <v>317</v>
      </c>
    </row>
    <row r="11" spans="2:6" s="647" customFormat="1" ht="38.25" customHeight="1">
      <c r="B11" s="834"/>
      <c r="C11" s="831"/>
      <c r="D11" s="639" t="s">
        <v>119</v>
      </c>
      <c r="E11" s="190">
        <v>14.6</v>
      </c>
      <c r="F11" s="631" t="s">
        <v>341</v>
      </c>
    </row>
    <row r="12" spans="2:6" s="647" customFormat="1" ht="38.25" customHeight="1">
      <c r="B12" s="834"/>
      <c r="C12" s="831"/>
      <c r="D12" s="630" t="s">
        <v>110</v>
      </c>
      <c r="E12" s="391"/>
      <c r="F12" s="633" t="s">
        <v>264</v>
      </c>
    </row>
    <row r="13" spans="2:6" s="647" customFormat="1" ht="38.25" customHeight="1">
      <c r="B13" s="834"/>
      <c r="C13" s="831"/>
      <c r="D13" s="632" t="s">
        <v>307</v>
      </c>
      <c r="E13" s="190"/>
      <c r="F13" s="633" t="s">
        <v>308</v>
      </c>
    </row>
    <row r="14" spans="2:6" s="647" customFormat="1" ht="38.25" customHeight="1">
      <c r="B14" s="834"/>
      <c r="C14" s="831"/>
      <c r="D14" s="639" t="s">
        <v>151</v>
      </c>
      <c r="E14" s="190"/>
      <c r="F14" s="633" t="s">
        <v>315</v>
      </c>
    </row>
    <row r="15" spans="2:6" s="647" customFormat="1" ht="38.25" customHeight="1" thickBot="1">
      <c r="B15" s="835"/>
      <c r="C15" s="832"/>
      <c r="D15" s="870" t="s">
        <v>6</v>
      </c>
      <c r="E15" s="628">
        <f>SUM(E6:E14)</f>
        <v>262528.97889999999</v>
      </c>
      <c r="F15" s="572"/>
    </row>
    <row r="16" spans="2:6" s="647" customFormat="1" ht="38.25" customHeight="1">
      <c r="B16" s="871">
        <v>2</v>
      </c>
      <c r="C16" s="872" t="s">
        <v>238</v>
      </c>
      <c r="D16" s="632" t="s">
        <v>257</v>
      </c>
      <c r="E16" s="190">
        <v>26725.15</v>
      </c>
      <c r="F16" s="633" t="s">
        <v>301</v>
      </c>
    </row>
    <row r="17" spans="2:6" s="647" customFormat="1" ht="38.25" customHeight="1">
      <c r="B17" s="873"/>
      <c r="C17" s="874"/>
      <c r="D17" s="632" t="s">
        <v>126</v>
      </c>
      <c r="E17" s="190">
        <v>145887.35</v>
      </c>
      <c r="F17" s="633" t="s">
        <v>306</v>
      </c>
    </row>
    <row r="18" spans="2:6" s="647" customFormat="1" ht="38.25" customHeight="1">
      <c r="B18" s="875"/>
      <c r="C18" s="876"/>
      <c r="D18" s="632" t="s">
        <v>275</v>
      </c>
      <c r="E18" s="190">
        <v>990.43700000000001</v>
      </c>
      <c r="F18" s="633" t="s">
        <v>247</v>
      </c>
    </row>
    <row r="19" spans="2:6" s="647" customFormat="1" ht="38.25" customHeight="1">
      <c r="B19" s="875"/>
      <c r="C19" s="876"/>
      <c r="D19" s="632" t="s">
        <v>127</v>
      </c>
      <c r="E19" s="190">
        <v>63.25</v>
      </c>
      <c r="F19" s="633" t="s">
        <v>248</v>
      </c>
    </row>
    <row r="20" spans="2:6" s="647" customFormat="1" ht="38.25" customHeight="1">
      <c r="B20" s="877"/>
      <c r="C20" s="878"/>
      <c r="D20" s="632" t="s">
        <v>90</v>
      </c>
      <c r="E20" s="190">
        <v>144.44999999999999</v>
      </c>
      <c r="F20" s="633" t="s">
        <v>265</v>
      </c>
    </row>
    <row r="21" spans="2:6" s="647" customFormat="1" ht="38.25" customHeight="1">
      <c r="B21" s="877"/>
      <c r="C21" s="878"/>
      <c r="D21" s="632" t="s">
        <v>110</v>
      </c>
      <c r="E21" s="190">
        <v>2664.15</v>
      </c>
      <c r="F21" s="633" t="s">
        <v>263</v>
      </c>
    </row>
    <row r="22" spans="2:6" s="647" customFormat="1" ht="38.25" customHeight="1">
      <c r="B22" s="877"/>
      <c r="C22" s="878"/>
      <c r="D22" s="639" t="s">
        <v>33</v>
      </c>
      <c r="E22" s="190"/>
      <c r="F22" s="631" t="s">
        <v>21</v>
      </c>
    </row>
    <row r="23" spans="2:6" s="647" customFormat="1" ht="38.25" customHeight="1">
      <c r="B23" s="877"/>
      <c r="C23" s="878"/>
      <c r="D23" s="639" t="s">
        <v>119</v>
      </c>
      <c r="E23" s="190"/>
      <c r="F23" s="633" t="s">
        <v>300</v>
      </c>
    </row>
    <row r="24" spans="2:6" s="647" customFormat="1" ht="38.25" customHeight="1">
      <c r="B24" s="877"/>
      <c r="C24" s="878"/>
      <c r="D24" s="639" t="s">
        <v>101</v>
      </c>
      <c r="E24" s="190"/>
      <c r="F24" s="633" t="s">
        <v>21</v>
      </c>
    </row>
    <row r="25" spans="2:6" s="647" customFormat="1" ht="38.25" customHeight="1" thickBot="1">
      <c r="B25" s="877"/>
      <c r="C25" s="878"/>
      <c r="D25" s="879" t="s">
        <v>307</v>
      </c>
      <c r="E25" s="427"/>
      <c r="F25" s="633" t="s">
        <v>308</v>
      </c>
    </row>
    <row r="26" spans="2:6" s="647" customFormat="1" ht="38.25" customHeight="1" thickBot="1">
      <c r="B26" s="880"/>
      <c r="C26" s="881"/>
      <c r="D26" s="882" t="s">
        <v>6</v>
      </c>
      <c r="E26" s="570">
        <f t="shared" ref="E26" si="0">SUM(E16:E25)</f>
        <v>176474.78700000001</v>
      </c>
      <c r="F26" s="570"/>
    </row>
    <row r="27" spans="2:6" s="647" customFormat="1" ht="38.25" customHeight="1">
      <c r="B27" s="883">
        <v>3</v>
      </c>
      <c r="C27" s="884" t="s">
        <v>242</v>
      </c>
      <c r="D27" s="867" t="s">
        <v>126</v>
      </c>
      <c r="E27" s="397">
        <v>35.700000000000003</v>
      </c>
      <c r="F27" s="629" t="s">
        <v>266</v>
      </c>
    </row>
    <row r="28" spans="2:6" s="647" customFormat="1" ht="38.25" customHeight="1">
      <c r="B28" s="885"/>
      <c r="C28" s="886"/>
      <c r="D28" s="630" t="s">
        <v>86</v>
      </c>
      <c r="E28" s="391">
        <v>0</v>
      </c>
      <c r="F28" s="633" t="s">
        <v>245</v>
      </c>
    </row>
    <row r="29" spans="2:6" s="647" customFormat="1" ht="38.25" customHeight="1">
      <c r="B29" s="885"/>
      <c r="C29" s="886"/>
      <c r="D29" s="632" t="s">
        <v>123</v>
      </c>
      <c r="E29" s="190"/>
      <c r="F29" s="633" t="s">
        <v>247</v>
      </c>
    </row>
    <row r="30" spans="2:6" s="647" customFormat="1" ht="38.25" customHeight="1">
      <c r="B30" s="885"/>
      <c r="C30" s="886"/>
      <c r="D30" s="639" t="s">
        <v>127</v>
      </c>
      <c r="E30" s="190"/>
      <c r="F30" s="633" t="s">
        <v>248</v>
      </c>
    </row>
    <row r="31" spans="2:6" s="647" customFormat="1" ht="38.25" customHeight="1">
      <c r="B31" s="885"/>
      <c r="C31" s="886"/>
      <c r="D31" s="639" t="s">
        <v>33</v>
      </c>
      <c r="E31" s="190"/>
      <c r="F31" s="631" t="s">
        <v>21</v>
      </c>
    </row>
    <row r="32" spans="2:6" s="647" customFormat="1" ht="38.25" customHeight="1">
      <c r="B32" s="885"/>
      <c r="C32" s="886"/>
      <c r="D32" s="639" t="s">
        <v>90</v>
      </c>
      <c r="E32" s="190"/>
      <c r="F32" s="633" t="s">
        <v>265</v>
      </c>
    </row>
    <row r="33" spans="2:6" s="647" customFormat="1" ht="38.25" customHeight="1">
      <c r="B33" s="885"/>
      <c r="C33" s="886"/>
      <c r="D33" s="639" t="s">
        <v>119</v>
      </c>
      <c r="E33" s="190"/>
      <c r="F33" s="633" t="s">
        <v>300</v>
      </c>
    </row>
    <row r="34" spans="2:6" s="647" customFormat="1" ht="38.25" customHeight="1">
      <c r="B34" s="885"/>
      <c r="C34" s="886"/>
      <c r="D34" s="639" t="s">
        <v>101</v>
      </c>
      <c r="E34" s="190"/>
      <c r="F34" s="633" t="s">
        <v>21</v>
      </c>
    </row>
    <row r="35" spans="2:6" s="647" customFormat="1" ht="38.25" customHeight="1">
      <c r="B35" s="885"/>
      <c r="C35" s="886"/>
      <c r="D35" s="887" t="s">
        <v>110</v>
      </c>
      <c r="E35" s="427"/>
      <c r="F35" s="631" t="s">
        <v>264</v>
      </c>
    </row>
    <row r="36" spans="2:6" s="647" customFormat="1" ht="38.25" customHeight="1">
      <c r="B36" s="885"/>
      <c r="C36" s="888"/>
      <c r="D36" s="639" t="s">
        <v>307</v>
      </c>
      <c r="E36" s="190"/>
      <c r="F36" s="633" t="s">
        <v>308</v>
      </c>
    </row>
    <row r="37" spans="2:6" s="647" customFormat="1" ht="38.25" customHeight="1" thickBot="1">
      <c r="B37" s="889"/>
      <c r="C37" s="890"/>
      <c r="D37" s="870" t="s">
        <v>6</v>
      </c>
      <c r="E37" s="572">
        <f>SUM(E27:E36)</f>
        <v>35.700000000000003</v>
      </c>
      <c r="F37" s="571"/>
    </row>
    <row r="38" spans="2:6" s="647" customFormat="1" ht="38.25" customHeight="1">
      <c r="B38" s="891">
        <v>4</v>
      </c>
      <c r="C38" s="892" t="s">
        <v>243</v>
      </c>
      <c r="D38" s="632" t="s">
        <v>257</v>
      </c>
      <c r="E38" s="190">
        <v>18199.849999999999</v>
      </c>
      <c r="F38" s="633" t="s">
        <v>303</v>
      </c>
    </row>
    <row r="39" spans="2:6" s="647" customFormat="1" ht="38.25" customHeight="1">
      <c r="B39" s="893"/>
      <c r="C39" s="894"/>
      <c r="D39" s="632" t="s">
        <v>275</v>
      </c>
      <c r="E39" s="190">
        <v>81122.024999999994</v>
      </c>
      <c r="F39" s="633" t="s">
        <v>304</v>
      </c>
    </row>
    <row r="40" spans="2:6" s="647" customFormat="1" ht="38.25" customHeight="1">
      <c r="B40" s="893"/>
      <c r="C40" s="894"/>
      <c r="D40" s="632" t="s">
        <v>344</v>
      </c>
      <c r="E40" s="190">
        <v>388796.24</v>
      </c>
      <c r="F40" s="633" t="s">
        <v>305</v>
      </c>
    </row>
    <row r="41" spans="2:6" s="647" customFormat="1" ht="38.25" customHeight="1">
      <c r="B41" s="893"/>
      <c r="C41" s="894"/>
      <c r="D41" s="632" t="s">
        <v>127</v>
      </c>
      <c r="E41" s="190">
        <v>836741.28610000003</v>
      </c>
      <c r="F41" s="633" t="s">
        <v>316</v>
      </c>
    </row>
    <row r="42" spans="2:6" s="647" customFormat="1" ht="38.25" customHeight="1">
      <c r="B42" s="895"/>
      <c r="C42" s="896"/>
      <c r="D42" s="632" t="s">
        <v>126</v>
      </c>
      <c r="E42" s="190">
        <v>98866.54</v>
      </c>
      <c r="F42" s="633" t="s">
        <v>306</v>
      </c>
    </row>
    <row r="43" spans="2:6" s="647" customFormat="1" ht="38.25" customHeight="1">
      <c r="B43" s="895"/>
      <c r="C43" s="896"/>
      <c r="D43" s="632" t="s">
        <v>90</v>
      </c>
      <c r="E43" s="190">
        <v>48054.805999999997</v>
      </c>
      <c r="F43" s="633" t="s">
        <v>265</v>
      </c>
    </row>
    <row r="44" spans="2:6" s="647" customFormat="1" ht="38.25" customHeight="1" thickBot="1">
      <c r="B44" s="895"/>
      <c r="C44" s="896"/>
      <c r="D44" s="639" t="s">
        <v>307</v>
      </c>
      <c r="E44" s="427"/>
      <c r="F44" s="633" t="s">
        <v>308</v>
      </c>
    </row>
    <row r="45" spans="2:6" s="647" customFormat="1" ht="38.25" customHeight="1" thickBot="1">
      <c r="B45" s="897"/>
      <c r="C45" s="898"/>
      <c r="D45" s="899" t="s">
        <v>6</v>
      </c>
      <c r="E45" s="570">
        <f t="shared" ref="E45" si="1">SUM(E38:E44)</f>
        <v>1471780.7471</v>
      </c>
      <c r="F45" s="570"/>
    </row>
    <row r="46" spans="2:6" s="647" customFormat="1" ht="38.25" customHeight="1">
      <c r="B46" s="883">
        <v>5</v>
      </c>
      <c r="C46" s="884" t="s">
        <v>258</v>
      </c>
      <c r="D46" s="634" t="s">
        <v>90</v>
      </c>
      <c r="E46" s="391">
        <v>922669.00050000008</v>
      </c>
      <c r="F46" s="633" t="s">
        <v>329</v>
      </c>
    </row>
    <row r="47" spans="2:6" s="647" customFormat="1" ht="38.25" customHeight="1">
      <c r="B47" s="885"/>
      <c r="C47" s="886"/>
      <c r="D47" s="634" t="s">
        <v>126</v>
      </c>
      <c r="E47" s="391">
        <v>438885.61999999994</v>
      </c>
      <c r="F47" s="633" t="s">
        <v>336</v>
      </c>
    </row>
    <row r="48" spans="2:6" s="647" customFormat="1" ht="38.25" customHeight="1">
      <c r="B48" s="885"/>
      <c r="C48" s="886"/>
      <c r="D48" s="634" t="s">
        <v>119</v>
      </c>
      <c r="E48" s="391">
        <v>79601.024000000005</v>
      </c>
      <c r="F48" s="633" t="s">
        <v>300</v>
      </c>
    </row>
    <row r="49" spans="2:6" s="647" customFormat="1" ht="38.25" customHeight="1">
      <c r="B49" s="885"/>
      <c r="C49" s="886"/>
      <c r="D49" s="634" t="s">
        <v>86</v>
      </c>
      <c r="E49" s="391">
        <v>2053.5219999999999</v>
      </c>
      <c r="F49" s="633" t="s">
        <v>328</v>
      </c>
    </row>
    <row r="50" spans="2:6" s="647" customFormat="1" ht="38.25" customHeight="1">
      <c r="B50" s="885"/>
      <c r="C50" s="886"/>
      <c r="D50" s="632" t="s">
        <v>110</v>
      </c>
      <c r="E50" s="190">
        <v>0</v>
      </c>
      <c r="F50" s="633" t="s">
        <v>264</v>
      </c>
    </row>
    <row r="51" spans="2:6" s="647" customFormat="1" ht="38.25" customHeight="1">
      <c r="B51" s="885"/>
      <c r="C51" s="886"/>
      <c r="D51" s="900" t="s">
        <v>101</v>
      </c>
      <c r="E51" s="190">
        <v>0</v>
      </c>
      <c r="F51" s="633" t="s">
        <v>21</v>
      </c>
    </row>
    <row r="52" spans="2:6" s="647" customFormat="1" ht="38.25" customHeight="1" thickBot="1">
      <c r="B52" s="885"/>
      <c r="C52" s="886"/>
      <c r="D52" s="639" t="s">
        <v>307</v>
      </c>
      <c r="E52" s="427">
        <v>0</v>
      </c>
      <c r="F52" s="633" t="s">
        <v>308</v>
      </c>
    </row>
    <row r="53" spans="2:6" s="647" customFormat="1" ht="38.25" customHeight="1" thickBot="1">
      <c r="B53" s="889"/>
      <c r="C53" s="890"/>
      <c r="D53" s="899" t="s">
        <v>6</v>
      </c>
      <c r="E53" s="570">
        <f t="shared" ref="E53" si="2">SUM(E46:E52)</f>
        <v>1443209.1665000001</v>
      </c>
      <c r="F53" s="570"/>
    </row>
    <row r="54" spans="2:6" s="647" customFormat="1" ht="38.25" customHeight="1">
      <c r="B54" s="891">
        <v>6</v>
      </c>
      <c r="C54" s="901" t="s">
        <v>240</v>
      </c>
      <c r="D54" s="632" t="s">
        <v>257</v>
      </c>
      <c r="E54" s="190">
        <v>3272.4</v>
      </c>
      <c r="F54" s="633" t="s">
        <v>302</v>
      </c>
    </row>
    <row r="55" spans="2:6" s="647" customFormat="1" ht="38.25" customHeight="1" thickBot="1">
      <c r="B55" s="897"/>
      <c r="C55" s="898"/>
      <c r="D55" s="870" t="s">
        <v>6</v>
      </c>
      <c r="E55" s="572">
        <f>SUM(E54)</f>
        <v>3272.4</v>
      </c>
      <c r="F55" s="572"/>
    </row>
    <row r="56" spans="2:6" s="647" customFormat="1" ht="38.25" customHeight="1">
      <c r="B56" s="891">
        <v>7</v>
      </c>
      <c r="C56" s="901" t="s">
        <v>262</v>
      </c>
      <c r="D56" s="642" t="s">
        <v>110</v>
      </c>
      <c r="E56" s="397"/>
      <c r="F56" s="633" t="s">
        <v>21</v>
      </c>
    </row>
    <row r="57" spans="2:6" s="647" customFormat="1" ht="38.25" customHeight="1">
      <c r="B57" s="834"/>
      <c r="C57" s="831"/>
      <c r="D57" s="639" t="s">
        <v>260</v>
      </c>
      <c r="E57" s="190"/>
      <c r="F57" s="633" t="s">
        <v>300</v>
      </c>
    </row>
    <row r="58" spans="2:6" s="647" customFormat="1" ht="38.25" customHeight="1" thickBot="1">
      <c r="B58" s="897"/>
      <c r="C58" s="898"/>
      <c r="D58" s="870" t="s">
        <v>6</v>
      </c>
      <c r="E58" s="572"/>
      <c r="F58" s="572"/>
    </row>
    <row r="59" spans="2:6" s="647" customFormat="1" ht="38.25" customHeight="1" thickBot="1">
      <c r="B59" s="836" t="s">
        <v>239</v>
      </c>
      <c r="C59" s="837"/>
      <c r="D59" s="641"/>
      <c r="E59" s="569">
        <f t="shared" ref="E59" si="3">E55+E45+E37+E26+E53+E15+E58</f>
        <v>3357301.7794999997</v>
      </c>
      <c r="F59" s="568"/>
    </row>
    <row r="60" spans="2:6" s="647" customFormat="1"/>
    <row r="61" spans="2:6" s="647" customFormat="1"/>
    <row r="62" spans="2:6" s="647" customFormat="1"/>
    <row r="63" spans="2:6" s="647" customFormat="1"/>
    <row r="64" spans="2:6" s="647" customFormat="1"/>
    <row r="65" s="647" customFormat="1"/>
    <row r="66" s="647" customFormat="1"/>
    <row r="67" s="647" customFormat="1"/>
    <row r="68" s="647" customFormat="1"/>
    <row r="69" s="647" customFormat="1"/>
    <row r="70" s="647" customFormat="1"/>
    <row r="71" s="647" customFormat="1"/>
    <row r="72" s="647" customFormat="1"/>
    <row r="73" s="647" customFormat="1"/>
    <row r="74" s="647" customFormat="1"/>
    <row r="75" s="647" customFormat="1"/>
    <row r="76" s="647" customFormat="1"/>
    <row r="77" s="647" customFormat="1"/>
    <row r="78" s="647" customFormat="1"/>
    <row r="79" s="647" customFormat="1"/>
    <row r="80" s="647" customFormat="1"/>
    <row r="81" s="647" customFormat="1"/>
  </sheetData>
  <mergeCells count="19">
    <mergeCell ref="C46:C53"/>
    <mergeCell ref="B46:B53"/>
    <mergeCell ref="B59:C59"/>
    <mergeCell ref="B56:B58"/>
    <mergeCell ref="C56:C58"/>
    <mergeCell ref="B54:B55"/>
    <mergeCell ref="C54:C55"/>
    <mergeCell ref="B38:B45"/>
    <mergeCell ref="C38:C45"/>
    <mergeCell ref="B27:B37"/>
    <mergeCell ref="D3:E3"/>
    <mergeCell ref="B6:B15"/>
    <mergeCell ref="C6:C15"/>
    <mergeCell ref="B1:F1"/>
    <mergeCell ref="B2:F2"/>
    <mergeCell ref="C27:C37"/>
    <mergeCell ref="B5:C5"/>
    <mergeCell ref="B16:B26"/>
    <mergeCell ref="C16:C26"/>
  </mergeCells>
  <printOptions horizontalCentered="1"/>
  <pageMargins left="0.51" right="0.23622047244094491" top="0.23" bottom="0.52" header="0.15748031496062992" footer="0.39"/>
  <pageSetup paperSize="9" scale="40" fitToHeight="2"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B1:J51"/>
  <sheetViews>
    <sheetView topLeftCell="A2" zoomScale="68" zoomScaleNormal="68" zoomScaleSheetLayoutView="85" workbookViewId="0">
      <selection activeCell="H70" sqref="H70"/>
    </sheetView>
  </sheetViews>
  <sheetFormatPr defaultColWidth="9.140625" defaultRowHeight="15"/>
  <cols>
    <col min="1" max="1" width="9.140625" style="1" customWidth="1"/>
    <col min="2" max="2" width="7.5703125" style="1" customWidth="1"/>
    <col min="3" max="3" width="18.5703125" style="1" customWidth="1"/>
    <col min="4" max="4" width="20.85546875" style="1" customWidth="1"/>
    <col min="5" max="5" width="20.140625" style="1" customWidth="1"/>
    <col min="6" max="16384" width="9.140625" style="1"/>
  </cols>
  <sheetData>
    <row r="1" spans="2:9" ht="36.75" customHeight="1">
      <c r="B1" s="818" t="s">
        <v>292</v>
      </c>
      <c r="C1" s="818"/>
      <c r="D1" s="818"/>
      <c r="E1" s="818"/>
    </row>
    <row r="2" spans="2:9" ht="37.5" customHeight="1">
      <c r="B2" s="800" t="s">
        <v>309</v>
      </c>
      <c r="C2" s="800"/>
      <c r="D2" s="800"/>
      <c r="E2" s="800"/>
    </row>
    <row r="3" spans="2:9" ht="24.75" customHeight="1" thickBot="1">
      <c r="B3" s="813" t="str">
        <f>'Consolidated Kharif-2024'!B3</f>
        <v>As on 20-04-2025</v>
      </c>
      <c r="C3" s="813"/>
      <c r="D3" s="813"/>
      <c r="E3" s="648" t="s">
        <v>136</v>
      </c>
    </row>
    <row r="4" spans="2:9" ht="73.5" customHeight="1" thickBot="1">
      <c r="B4" s="556" t="s">
        <v>132</v>
      </c>
      <c r="C4" s="228" t="s">
        <v>0</v>
      </c>
      <c r="D4" s="557" t="s">
        <v>1</v>
      </c>
      <c r="E4" s="228" t="s">
        <v>135</v>
      </c>
    </row>
    <row r="5" spans="2:9" ht="23.25" customHeight="1" thickBot="1">
      <c r="B5" s="865" t="s">
        <v>310</v>
      </c>
      <c r="C5" s="865"/>
      <c r="D5" s="866"/>
      <c r="E5" s="415"/>
      <c r="F5" s="647"/>
      <c r="G5" s="647"/>
      <c r="H5" s="647"/>
      <c r="I5" s="647"/>
    </row>
    <row r="6" spans="2:9" ht="40.5" customHeight="1">
      <c r="B6" s="833">
        <v>1</v>
      </c>
      <c r="C6" s="830" t="s">
        <v>311</v>
      </c>
      <c r="D6" s="642" t="s">
        <v>123</v>
      </c>
      <c r="E6" s="397">
        <v>5792.45</v>
      </c>
      <c r="F6" s="647"/>
      <c r="G6" s="647"/>
      <c r="H6" s="647"/>
      <c r="I6" s="647"/>
    </row>
    <row r="7" spans="2:9" ht="40.5" customHeight="1">
      <c r="B7" s="834"/>
      <c r="C7" s="831"/>
      <c r="D7" s="630" t="s">
        <v>101</v>
      </c>
      <c r="E7" s="391">
        <v>183.1</v>
      </c>
      <c r="F7" s="647"/>
      <c r="G7" s="647"/>
      <c r="H7" s="647"/>
      <c r="I7" s="647"/>
    </row>
    <row r="8" spans="2:9" ht="40.5" customHeight="1">
      <c r="B8" s="834"/>
      <c r="C8" s="831"/>
      <c r="D8" s="630" t="s">
        <v>151</v>
      </c>
      <c r="E8" s="391">
        <v>3718.2700000000004</v>
      </c>
      <c r="F8" s="647"/>
      <c r="G8" s="647"/>
      <c r="H8" s="647"/>
      <c r="I8" s="647"/>
    </row>
    <row r="9" spans="2:9" ht="40.5" customHeight="1">
      <c r="B9" s="834"/>
      <c r="C9" s="831"/>
      <c r="D9" s="630" t="s">
        <v>127</v>
      </c>
      <c r="E9" s="391">
        <v>145.904</v>
      </c>
      <c r="F9" s="647"/>
      <c r="G9" s="647"/>
      <c r="H9" s="647"/>
      <c r="I9" s="647"/>
    </row>
    <row r="10" spans="2:9" ht="40.5" customHeight="1">
      <c r="B10" s="834"/>
      <c r="C10" s="831"/>
      <c r="D10" s="630" t="s">
        <v>126</v>
      </c>
      <c r="E10" s="391">
        <v>545.29999999999995</v>
      </c>
      <c r="F10" s="647"/>
      <c r="G10" s="647"/>
      <c r="H10" s="647"/>
      <c r="I10" s="647"/>
    </row>
    <row r="11" spans="2:9" ht="40.5" customHeight="1">
      <c r="B11" s="834"/>
      <c r="C11" s="831"/>
      <c r="D11" s="630" t="s">
        <v>86</v>
      </c>
      <c r="E11" s="391">
        <v>0</v>
      </c>
      <c r="F11" s="647"/>
      <c r="G11" s="647"/>
      <c r="H11" s="647"/>
      <c r="I11" s="647"/>
    </row>
    <row r="12" spans="2:9" ht="40.5" customHeight="1">
      <c r="B12" s="834"/>
      <c r="C12" s="831"/>
      <c r="D12" s="630" t="s">
        <v>307</v>
      </c>
      <c r="E12" s="391"/>
      <c r="F12" s="647"/>
      <c r="G12" s="647"/>
      <c r="H12" s="647"/>
      <c r="I12" s="647"/>
    </row>
    <row r="13" spans="2:9" ht="40.5" customHeight="1">
      <c r="B13" s="834"/>
      <c r="C13" s="831"/>
      <c r="D13" s="632" t="s">
        <v>90</v>
      </c>
      <c r="E13" s="190"/>
      <c r="F13" s="647"/>
      <c r="G13" s="647"/>
      <c r="H13" s="647"/>
      <c r="I13" s="647"/>
    </row>
    <row r="14" spans="2:9" ht="40.5" customHeight="1">
      <c r="B14" s="834"/>
      <c r="C14" s="831"/>
      <c r="D14" s="639" t="s">
        <v>110</v>
      </c>
      <c r="E14" s="190"/>
      <c r="F14" s="647"/>
      <c r="G14" s="647"/>
      <c r="H14" s="647"/>
      <c r="I14" s="647"/>
    </row>
    <row r="15" spans="2:9" ht="40.5" customHeight="1">
      <c r="B15" s="834"/>
      <c r="C15" s="831"/>
      <c r="D15" s="634" t="s">
        <v>119</v>
      </c>
      <c r="E15" s="391"/>
      <c r="F15" s="647"/>
      <c r="G15" s="647"/>
      <c r="H15" s="647"/>
      <c r="I15" s="647"/>
    </row>
    <row r="16" spans="2:9" ht="40.5" customHeight="1" thickBot="1">
      <c r="B16" s="835"/>
      <c r="C16" s="832"/>
      <c r="D16" s="637" t="s">
        <v>6</v>
      </c>
      <c r="E16" s="640">
        <f>SUM(E6:E15)</f>
        <v>10385.023999999999</v>
      </c>
      <c r="F16" s="647"/>
      <c r="G16" s="647"/>
      <c r="H16" s="647"/>
      <c r="I16" s="647"/>
    </row>
    <row r="17" spans="2:9" ht="40.5" customHeight="1">
      <c r="B17" s="833">
        <v>2</v>
      </c>
      <c r="C17" s="830" t="s">
        <v>312</v>
      </c>
      <c r="D17" s="630" t="s">
        <v>151</v>
      </c>
      <c r="E17" s="391">
        <v>49795.280000000006</v>
      </c>
      <c r="F17" s="647"/>
      <c r="G17" s="647"/>
      <c r="H17" s="647"/>
      <c r="I17" s="647"/>
    </row>
    <row r="18" spans="2:9" ht="40.5" customHeight="1">
      <c r="B18" s="834"/>
      <c r="C18" s="831"/>
      <c r="D18" s="630" t="s">
        <v>119</v>
      </c>
      <c r="E18" s="391">
        <v>1360.15</v>
      </c>
      <c r="F18" s="647"/>
      <c r="G18" s="647"/>
      <c r="H18" s="647"/>
      <c r="I18" s="647"/>
    </row>
    <row r="19" spans="2:9" ht="40.5" customHeight="1">
      <c r="B19" s="834"/>
      <c r="C19" s="831"/>
      <c r="D19" s="630" t="s">
        <v>307</v>
      </c>
      <c r="E19" s="391"/>
      <c r="F19" s="647"/>
      <c r="G19" s="647"/>
      <c r="H19" s="647"/>
      <c r="I19" s="647"/>
    </row>
    <row r="20" spans="2:9" ht="40.5" customHeight="1">
      <c r="B20" s="834"/>
      <c r="C20" s="831"/>
      <c r="D20" s="639" t="s">
        <v>110</v>
      </c>
      <c r="E20" s="190"/>
      <c r="F20" s="647"/>
      <c r="G20" s="647"/>
      <c r="H20" s="647"/>
      <c r="I20" s="647"/>
    </row>
    <row r="21" spans="2:9" ht="40.5" customHeight="1" thickBot="1">
      <c r="B21" s="835"/>
      <c r="C21" s="832"/>
      <c r="D21" s="637" t="s">
        <v>6</v>
      </c>
      <c r="E21" s="640">
        <f t="shared" ref="E21" si="0">SUM(E17:E20)</f>
        <v>51155.430000000008</v>
      </c>
      <c r="F21" s="647"/>
      <c r="G21" s="647"/>
      <c r="H21" s="647"/>
      <c r="I21" s="647"/>
    </row>
    <row r="22" spans="2:9" ht="40.5" customHeight="1">
      <c r="B22" s="833">
        <v>3</v>
      </c>
      <c r="C22" s="830" t="s">
        <v>333</v>
      </c>
      <c r="D22" s="642" t="s">
        <v>123</v>
      </c>
      <c r="E22" s="397"/>
      <c r="F22" s="647"/>
      <c r="G22" s="647"/>
      <c r="H22" s="647"/>
      <c r="I22" s="647"/>
    </row>
    <row r="23" spans="2:9" ht="40.5" customHeight="1">
      <c r="B23" s="834"/>
      <c r="C23" s="831"/>
      <c r="D23" s="639" t="s">
        <v>101</v>
      </c>
      <c r="E23" s="190"/>
      <c r="F23" s="647"/>
      <c r="G23" s="647"/>
      <c r="H23" s="647"/>
      <c r="I23" s="647"/>
    </row>
    <row r="24" spans="2:9" ht="40.5" customHeight="1">
      <c r="B24" s="834"/>
      <c r="C24" s="831"/>
      <c r="D24" s="639" t="s">
        <v>33</v>
      </c>
      <c r="E24" s="190"/>
      <c r="F24" s="647"/>
      <c r="G24" s="647"/>
      <c r="H24" s="647"/>
      <c r="I24" s="647"/>
    </row>
    <row r="25" spans="2:9" ht="40.5" customHeight="1" thickBot="1">
      <c r="B25" s="835"/>
      <c r="C25" s="832"/>
      <c r="D25" s="637" t="s">
        <v>6</v>
      </c>
      <c r="E25" s="640"/>
      <c r="F25" s="647"/>
      <c r="G25" s="647"/>
      <c r="H25" s="647"/>
      <c r="I25" s="647"/>
    </row>
    <row r="26" spans="2:9" ht="40.5" customHeight="1">
      <c r="B26" s="833">
        <v>4</v>
      </c>
      <c r="C26" s="830" t="s">
        <v>335</v>
      </c>
      <c r="D26" s="642" t="s">
        <v>101</v>
      </c>
      <c r="E26" s="397">
        <v>4417.8499999999995</v>
      </c>
      <c r="F26" s="647"/>
      <c r="G26" s="647"/>
      <c r="H26" s="647"/>
      <c r="I26" s="647"/>
    </row>
    <row r="27" spans="2:9" ht="40.5" customHeight="1">
      <c r="B27" s="834"/>
      <c r="C27" s="831"/>
      <c r="D27" s="639" t="s">
        <v>33</v>
      </c>
      <c r="E27" s="190"/>
      <c r="F27" s="647"/>
      <c r="G27" s="647"/>
      <c r="H27" s="647"/>
      <c r="I27" s="647"/>
    </row>
    <row r="28" spans="2:9" ht="40.5" customHeight="1" thickBot="1">
      <c r="B28" s="835"/>
      <c r="C28" s="832"/>
      <c r="D28" s="637" t="s">
        <v>6</v>
      </c>
      <c r="E28" s="640">
        <f>SUM(E26:E27)</f>
        <v>4417.8499999999995</v>
      </c>
      <c r="F28" s="647"/>
      <c r="G28" s="647"/>
      <c r="H28" s="647"/>
      <c r="I28" s="647"/>
    </row>
    <row r="29" spans="2:9" ht="40.5" customHeight="1">
      <c r="B29" s="833">
        <v>5</v>
      </c>
      <c r="C29" s="830" t="s">
        <v>314</v>
      </c>
      <c r="D29" s="642" t="s">
        <v>159</v>
      </c>
      <c r="E29" s="397">
        <v>1044.4000000000001</v>
      </c>
      <c r="F29" s="647"/>
      <c r="G29" s="647"/>
      <c r="H29" s="647"/>
      <c r="I29" s="647"/>
    </row>
    <row r="30" spans="2:9" ht="40.5" customHeight="1">
      <c r="B30" s="834"/>
      <c r="C30" s="831"/>
      <c r="D30" s="630" t="s">
        <v>110</v>
      </c>
      <c r="E30" s="391">
        <v>161185</v>
      </c>
      <c r="F30" s="647"/>
      <c r="G30" s="647"/>
      <c r="H30" s="647"/>
      <c r="I30" s="647"/>
    </row>
    <row r="31" spans="2:9" ht="40.5" customHeight="1">
      <c r="B31" s="834"/>
      <c r="C31" s="831"/>
      <c r="D31" s="639" t="s">
        <v>151</v>
      </c>
      <c r="E31" s="190">
        <v>11743.44</v>
      </c>
      <c r="F31" s="647"/>
      <c r="G31" s="647"/>
      <c r="H31" s="647"/>
      <c r="I31" s="647"/>
    </row>
    <row r="32" spans="2:9" ht="40.5" customHeight="1">
      <c r="B32" s="834"/>
      <c r="C32" s="831"/>
      <c r="D32" s="639" t="s">
        <v>126</v>
      </c>
      <c r="E32" s="190">
        <v>5893.9449999999997</v>
      </c>
      <c r="F32" s="647"/>
      <c r="G32" s="647"/>
      <c r="H32" s="647"/>
      <c r="I32" s="647"/>
    </row>
    <row r="33" spans="2:9" ht="40.5" customHeight="1">
      <c r="B33" s="834"/>
      <c r="C33" s="831"/>
      <c r="D33" s="639" t="s">
        <v>119</v>
      </c>
      <c r="E33" s="190">
        <v>16.3</v>
      </c>
      <c r="F33" s="647"/>
      <c r="G33" s="647"/>
      <c r="H33" s="647"/>
      <c r="I33" s="647"/>
    </row>
    <row r="34" spans="2:9" ht="40.5" customHeight="1">
      <c r="B34" s="834"/>
      <c r="C34" s="831"/>
      <c r="D34" s="639" t="s">
        <v>90</v>
      </c>
      <c r="E34" s="190"/>
      <c r="F34" s="647"/>
      <c r="G34" s="647"/>
      <c r="H34" s="647"/>
      <c r="I34" s="647"/>
    </row>
    <row r="35" spans="2:9" ht="40.5" customHeight="1">
      <c r="B35" s="834"/>
      <c r="C35" s="831"/>
      <c r="D35" s="630" t="s">
        <v>307</v>
      </c>
      <c r="E35" s="391"/>
      <c r="F35" s="647"/>
      <c r="G35" s="647"/>
      <c r="H35" s="647"/>
      <c r="I35" s="647"/>
    </row>
    <row r="36" spans="2:9" ht="40.5" customHeight="1" thickBot="1">
      <c r="B36" s="835"/>
      <c r="C36" s="832"/>
      <c r="D36" s="636" t="s">
        <v>6</v>
      </c>
      <c r="E36" s="640">
        <f t="shared" ref="E36" si="1">SUM(E29:E35)</f>
        <v>179883.08499999999</v>
      </c>
      <c r="F36" s="647"/>
      <c r="G36" s="647"/>
      <c r="H36" s="647"/>
      <c r="I36" s="647"/>
    </row>
    <row r="37" spans="2:9" ht="40.5" customHeight="1">
      <c r="B37" s="833">
        <v>6</v>
      </c>
      <c r="C37" s="830" t="s">
        <v>332</v>
      </c>
      <c r="D37" s="867" t="s">
        <v>123</v>
      </c>
      <c r="E37" s="397">
        <v>2135.6</v>
      </c>
      <c r="F37" s="647"/>
      <c r="G37" s="647"/>
      <c r="H37" s="647"/>
      <c r="I37" s="647"/>
    </row>
    <row r="38" spans="2:9" ht="40.5" customHeight="1" thickBot="1">
      <c r="B38" s="835"/>
      <c r="C38" s="832"/>
      <c r="D38" s="636" t="s">
        <v>6</v>
      </c>
      <c r="E38" s="640">
        <f>SUM(E37)</f>
        <v>2135.6</v>
      </c>
      <c r="F38" s="647"/>
      <c r="G38" s="647"/>
      <c r="H38" s="647"/>
      <c r="I38" s="647"/>
    </row>
    <row r="39" spans="2:9" ht="40.5" customHeight="1">
      <c r="B39" s="833">
        <v>7</v>
      </c>
      <c r="C39" s="830" t="s">
        <v>331</v>
      </c>
      <c r="D39" s="635" t="s">
        <v>123</v>
      </c>
      <c r="E39" s="190"/>
      <c r="F39" s="647"/>
      <c r="G39" s="647"/>
      <c r="H39" s="647"/>
      <c r="I39" s="647"/>
    </row>
    <row r="40" spans="2:9" ht="40.5" customHeight="1">
      <c r="B40" s="834"/>
      <c r="C40" s="831"/>
      <c r="D40" s="639" t="s">
        <v>101</v>
      </c>
      <c r="E40" s="190"/>
      <c r="F40" s="647"/>
      <c r="G40" s="647"/>
      <c r="H40" s="647"/>
      <c r="I40" s="647"/>
    </row>
    <row r="41" spans="2:9" ht="40.5" customHeight="1" thickBot="1">
      <c r="B41" s="835"/>
      <c r="C41" s="832"/>
      <c r="D41" s="636" t="s">
        <v>6</v>
      </c>
      <c r="E41" s="638"/>
      <c r="F41" s="647"/>
      <c r="G41" s="647"/>
      <c r="H41" s="647"/>
      <c r="I41" s="647"/>
    </row>
    <row r="42" spans="2:9" ht="40.5" customHeight="1">
      <c r="B42" s="833">
        <v>8</v>
      </c>
      <c r="C42" s="830" t="s">
        <v>334</v>
      </c>
      <c r="D42" s="635" t="s">
        <v>86</v>
      </c>
      <c r="E42" s="190"/>
      <c r="F42" s="647"/>
      <c r="G42" s="647"/>
      <c r="H42" s="647"/>
      <c r="I42" s="647"/>
    </row>
    <row r="43" spans="2:9" ht="40.5" customHeight="1" thickBot="1">
      <c r="B43" s="835"/>
      <c r="C43" s="832"/>
      <c r="D43" s="636" t="s">
        <v>6</v>
      </c>
      <c r="E43" s="638"/>
      <c r="F43" s="647"/>
      <c r="G43" s="647"/>
      <c r="H43" s="647"/>
      <c r="I43" s="647"/>
    </row>
    <row r="44" spans="2:9" ht="25.5" customHeight="1" thickBot="1">
      <c r="B44" s="836" t="s">
        <v>38</v>
      </c>
      <c r="C44" s="837"/>
      <c r="D44" s="641"/>
      <c r="E44" s="569">
        <f t="shared" ref="E44" si="2">E36+E21+E16+E41+E25+E38+E43+E28</f>
        <v>247976.98900000003</v>
      </c>
      <c r="F44" s="647"/>
      <c r="G44" s="647"/>
      <c r="H44" s="647"/>
      <c r="I44" s="647"/>
    </row>
    <row r="45" spans="2:9" ht="26.25" customHeight="1" thickBot="1">
      <c r="B45" s="868" t="s">
        <v>338</v>
      </c>
      <c r="C45" s="866"/>
      <c r="D45" s="869"/>
      <c r="E45" s="27"/>
      <c r="F45" s="647"/>
      <c r="G45" s="647"/>
      <c r="H45" s="647"/>
      <c r="I45" s="647"/>
    </row>
    <row r="46" spans="2:9" ht="40.5" customHeight="1">
      <c r="B46" s="833">
        <v>1</v>
      </c>
      <c r="C46" s="830" t="s">
        <v>339</v>
      </c>
      <c r="D46" s="635" t="s">
        <v>33</v>
      </c>
      <c r="E46" s="190"/>
      <c r="F46" s="647"/>
      <c r="G46" s="647"/>
      <c r="H46" s="647"/>
      <c r="I46" s="647"/>
    </row>
    <row r="47" spans="2:9" ht="40.5" customHeight="1" thickBot="1">
      <c r="B47" s="835"/>
      <c r="C47" s="832"/>
      <c r="D47" s="636" t="s">
        <v>6</v>
      </c>
      <c r="E47" s="638"/>
      <c r="F47" s="647"/>
      <c r="G47" s="647"/>
      <c r="H47" s="647"/>
      <c r="I47" s="647"/>
    </row>
    <row r="48" spans="2:9" ht="40.5" customHeight="1">
      <c r="B48" s="833">
        <v>2</v>
      </c>
      <c r="C48" s="830" t="s">
        <v>340</v>
      </c>
      <c r="D48" s="643" t="s">
        <v>33</v>
      </c>
      <c r="E48" s="397"/>
      <c r="F48" s="647"/>
      <c r="G48" s="647"/>
      <c r="H48" s="647"/>
      <c r="I48" s="647"/>
    </row>
    <row r="49" spans="2:9" ht="40.5" customHeight="1" thickBot="1">
      <c r="B49" s="835"/>
      <c r="C49" s="832"/>
      <c r="D49" s="636" t="s">
        <v>6</v>
      </c>
      <c r="E49" s="638"/>
      <c r="F49" s="647"/>
      <c r="G49" s="647"/>
      <c r="H49" s="647"/>
      <c r="I49" s="647"/>
    </row>
    <row r="50" spans="2:9" ht="26.25" customHeight="1" thickBot="1">
      <c r="B50" s="644"/>
      <c r="C50" s="645" t="s">
        <v>5</v>
      </c>
      <c r="D50" s="646"/>
      <c r="E50" s="568">
        <f t="shared" ref="E50" si="3">E49+E47</f>
        <v>0</v>
      </c>
      <c r="F50" s="647"/>
      <c r="G50" s="647"/>
      <c r="H50" s="647"/>
      <c r="I50" s="647"/>
    </row>
    <row r="51" spans="2:9" ht="30.75" customHeight="1" thickBot="1">
      <c r="B51" s="836" t="s">
        <v>13</v>
      </c>
      <c r="C51" s="837"/>
      <c r="D51" s="641"/>
      <c r="E51" s="569">
        <f>E50+E44</f>
        <v>247976.98900000003</v>
      </c>
      <c r="F51" s="647"/>
      <c r="G51" s="647"/>
      <c r="H51" s="647"/>
      <c r="I51" s="647"/>
    </row>
  </sheetData>
  <mergeCells count="26">
    <mergeCell ref="B51:C51"/>
    <mergeCell ref="C37:C38"/>
    <mergeCell ref="B46:B47"/>
    <mergeCell ref="C46:C47"/>
    <mergeCell ref="B48:B49"/>
    <mergeCell ref="C48:C49"/>
    <mergeCell ref="B1:E1"/>
    <mergeCell ref="B2:E2"/>
    <mergeCell ref="B5:C5"/>
    <mergeCell ref="B3:D3"/>
    <mergeCell ref="B6:B16"/>
    <mergeCell ref="C6:C16"/>
    <mergeCell ref="C29:C36"/>
    <mergeCell ref="B39:B41"/>
    <mergeCell ref="C39:C41"/>
    <mergeCell ref="C26:C28"/>
    <mergeCell ref="B26:B28"/>
    <mergeCell ref="B22:B25"/>
    <mergeCell ref="C22:C25"/>
    <mergeCell ref="C17:C21"/>
    <mergeCell ref="B17:B21"/>
    <mergeCell ref="B29:B36"/>
    <mergeCell ref="B44:C44"/>
    <mergeCell ref="B42:B43"/>
    <mergeCell ref="C42:C43"/>
    <mergeCell ref="B37:B38"/>
  </mergeCells>
  <pageMargins left="0.27559055118110237" right="0.35433070866141736" top="0.51181102362204722" bottom="0.66" header="0.11811023622047245" footer="3.937007874015748E-2"/>
  <pageSetup paperSize="9" scale="44" fitToHeight="2"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B1:S23"/>
  <sheetViews>
    <sheetView topLeftCell="A4" zoomScale="70" zoomScaleNormal="70" zoomScaleSheetLayoutView="85" workbookViewId="0">
      <selection activeCell="J17" sqref="J17"/>
    </sheetView>
  </sheetViews>
  <sheetFormatPr defaultColWidth="9.140625" defaultRowHeight="15"/>
  <cols>
    <col min="1" max="1" width="9.140625" style="1"/>
    <col min="2" max="2" width="7" style="1" customWidth="1"/>
    <col min="3" max="3" width="18.5703125" style="1" customWidth="1"/>
    <col min="4" max="4" width="23.5703125" style="1" customWidth="1"/>
    <col min="5" max="5" width="19" style="1" customWidth="1"/>
    <col min="6" max="6" width="51.710937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357" hidden="1" customWidth="1"/>
    <col min="16" max="16" width="14.42578125" style="1" hidden="1" customWidth="1"/>
    <col min="17" max="17" width="5.140625" style="1" customWidth="1"/>
    <col min="18" max="18" width="16.7109375" style="1" customWidth="1"/>
    <col min="19" max="19" width="20.28515625" style="1" customWidth="1"/>
    <col min="20" max="20" width="10.5703125" style="1" bestFit="1" customWidth="1"/>
    <col min="21" max="16384" width="9.140625" style="1"/>
  </cols>
  <sheetData>
    <row r="1" spans="2:19" ht="19.5" customHeight="1">
      <c r="D1" s="9"/>
      <c r="E1" s="9"/>
      <c r="F1" s="9"/>
      <c r="G1" s="9"/>
      <c r="H1" s="9"/>
      <c r="I1" s="9"/>
    </row>
    <row r="2" spans="2:19" ht="33" customHeight="1">
      <c r="B2" s="800" t="s">
        <v>276</v>
      </c>
      <c r="C2" s="800"/>
      <c r="D2" s="800"/>
      <c r="E2" s="800"/>
      <c r="F2" s="800"/>
      <c r="G2" s="800"/>
      <c r="H2" s="800"/>
      <c r="I2" s="800"/>
      <c r="J2" s="800"/>
      <c r="K2" s="800"/>
      <c r="L2" s="800"/>
      <c r="M2" s="800"/>
      <c r="N2" s="800"/>
      <c r="O2" s="800"/>
      <c r="P2" s="800"/>
      <c r="Q2" s="364"/>
    </row>
    <row r="3" spans="2:19" ht="24.75" customHeight="1" thickBot="1">
      <c r="B3" s="577">
        <f>'Consolidated Rabi -2024'!B3:D3</f>
        <v>0</v>
      </c>
      <c r="C3" s="577"/>
      <c r="D3" s="577"/>
      <c r="K3" s="250"/>
      <c r="L3" s="250"/>
      <c r="M3" s="828" t="s">
        <v>136</v>
      </c>
      <c r="N3" s="828"/>
      <c r="P3" s="268"/>
      <c r="Q3" s="268"/>
    </row>
    <row r="4" spans="2:19" ht="73.5" customHeight="1" thickBot="1">
      <c r="B4" s="556" t="s">
        <v>132</v>
      </c>
      <c r="C4" s="228" t="s">
        <v>0</v>
      </c>
      <c r="D4" s="557" t="s">
        <v>1</v>
      </c>
      <c r="E4" s="228" t="s">
        <v>277</v>
      </c>
      <c r="F4" s="228" t="s">
        <v>267</v>
      </c>
      <c r="G4" s="228" t="s">
        <v>195</v>
      </c>
      <c r="H4" s="228" t="s">
        <v>268</v>
      </c>
      <c r="I4" s="558" t="s">
        <v>131</v>
      </c>
      <c r="J4" s="228" t="s">
        <v>289</v>
      </c>
      <c r="K4" s="228" t="s">
        <v>24</v>
      </c>
      <c r="L4" s="559" t="s">
        <v>269</v>
      </c>
      <c r="M4" s="228" t="s">
        <v>88</v>
      </c>
      <c r="N4" s="560" t="s">
        <v>138</v>
      </c>
      <c r="O4" s="555" t="s">
        <v>189</v>
      </c>
      <c r="P4" s="381" t="s">
        <v>191</v>
      </c>
      <c r="Q4" s="383"/>
      <c r="R4" s="575"/>
      <c r="S4" s="575"/>
    </row>
    <row r="5" spans="2:19" ht="25.5" customHeight="1" thickBot="1">
      <c r="B5" s="840" t="s">
        <v>237</v>
      </c>
      <c r="C5" s="840"/>
      <c r="D5" s="563"/>
      <c r="E5" s="384"/>
      <c r="F5" s="384"/>
      <c r="G5" s="384"/>
      <c r="H5" s="384"/>
      <c r="I5" s="415"/>
      <c r="J5" s="415"/>
      <c r="K5" s="384"/>
      <c r="L5" s="415"/>
      <c r="M5" s="564"/>
      <c r="N5" s="415"/>
      <c r="O5" s="562"/>
      <c r="P5" s="414"/>
      <c r="Q5" s="6"/>
      <c r="S5" s="576"/>
    </row>
    <row r="6" spans="2:19" ht="66" customHeight="1">
      <c r="B6" s="821">
        <v>4</v>
      </c>
      <c r="C6" s="829" t="s">
        <v>243</v>
      </c>
      <c r="D6" s="579" t="s">
        <v>86</v>
      </c>
      <c r="E6" s="33">
        <v>103315</v>
      </c>
      <c r="F6" s="33" t="s">
        <v>270</v>
      </c>
      <c r="G6" s="582">
        <v>30</v>
      </c>
      <c r="H6" s="582">
        <v>11</v>
      </c>
      <c r="I6" s="586">
        <f t="shared" ref="I6:I11" si="0">R6</f>
        <v>8.8999999999999986</v>
      </c>
      <c r="J6" s="587">
        <v>66.95</v>
      </c>
      <c r="K6" s="582">
        <v>60</v>
      </c>
      <c r="L6" s="586">
        <v>0</v>
      </c>
      <c r="M6" s="593" t="s">
        <v>245</v>
      </c>
      <c r="N6" s="594">
        <f t="shared" ref="N6:N11" si="1">J6*4892/1000000</f>
        <v>0.32751940000000002</v>
      </c>
      <c r="O6" s="460"/>
      <c r="P6" s="574"/>
      <c r="Q6" s="387"/>
      <c r="R6" s="561">
        <f t="shared" ref="R6:R11" si="2">J6-S6</f>
        <v>8.8999999999999986</v>
      </c>
      <c r="S6" s="573">
        <v>58.050000000000004</v>
      </c>
    </row>
    <row r="7" spans="2:19" ht="66" customHeight="1">
      <c r="B7" s="822"/>
      <c r="C7" s="825"/>
      <c r="D7" s="580" t="s">
        <v>275</v>
      </c>
      <c r="E7" s="211">
        <v>59508</v>
      </c>
      <c r="F7" s="211" t="s">
        <v>271</v>
      </c>
      <c r="G7" s="583">
        <v>38</v>
      </c>
      <c r="H7" s="583">
        <v>38</v>
      </c>
      <c r="I7" s="588">
        <f t="shared" si="0"/>
        <v>1415.25</v>
      </c>
      <c r="J7" s="589">
        <v>19930.05</v>
      </c>
      <c r="K7" s="583">
        <v>12170</v>
      </c>
      <c r="L7" s="588">
        <v>6082.25</v>
      </c>
      <c r="M7" s="595" t="s">
        <v>259</v>
      </c>
      <c r="N7" s="596">
        <f t="shared" si="1"/>
        <v>97.497804599999995</v>
      </c>
      <c r="O7" s="460"/>
      <c r="P7" s="574"/>
      <c r="Q7" s="387"/>
      <c r="R7" s="561">
        <f t="shared" si="2"/>
        <v>1415.25</v>
      </c>
      <c r="S7" s="573">
        <v>18514.8</v>
      </c>
    </row>
    <row r="8" spans="2:19" ht="66" customHeight="1">
      <c r="B8" s="822"/>
      <c r="C8" s="825"/>
      <c r="D8" s="580" t="s">
        <v>151</v>
      </c>
      <c r="E8" s="211">
        <v>1368045</v>
      </c>
      <c r="F8" s="211" t="s">
        <v>272</v>
      </c>
      <c r="G8" s="583">
        <v>311</v>
      </c>
      <c r="H8" s="583">
        <v>140</v>
      </c>
      <c r="I8" s="588">
        <f t="shared" si="0"/>
        <v>1858.2299999999996</v>
      </c>
      <c r="J8" s="589">
        <v>4064.6019999999994</v>
      </c>
      <c r="K8" s="583">
        <v>2135</v>
      </c>
      <c r="L8" s="588"/>
      <c r="M8" s="595" t="s">
        <v>246</v>
      </c>
      <c r="N8" s="596">
        <f t="shared" si="1"/>
        <v>19.884032983999997</v>
      </c>
      <c r="O8" s="460"/>
      <c r="P8" s="574"/>
      <c r="Q8" s="387"/>
      <c r="R8" s="561">
        <f t="shared" si="2"/>
        <v>1858.2299999999996</v>
      </c>
      <c r="S8" s="573">
        <v>2206.3719999999998</v>
      </c>
    </row>
    <row r="9" spans="2:19" ht="66" customHeight="1">
      <c r="B9" s="822"/>
      <c r="C9" s="825"/>
      <c r="D9" s="580" t="s">
        <v>127</v>
      </c>
      <c r="E9" s="211">
        <v>1308238</v>
      </c>
      <c r="F9" s="211" t="s">
        <v>278</v>
      </c>
      <c r="G9" s="583">
        <v>304</v>
      </c>
      <c r="H9" s="583">
        <v>43</v>
      </c>
      <c r="I9" s="588">
        <f t="shared" si="0"/>
        <v>332.00399999999968</v>
      </c>
      <c r="J9" s="589">
        <v>1813.4469999999999</v>
      </c>
      <c r="K9" s="583">
        <v>849</v>
      </c>
      <c r="L9" s="588">
        <v>769.46799999999996</v>
      </c>
      <c r="M9" s="597" t="s">
        <v>249</v>
      </c>
      <c r="N9" s="596">
        <f t="shared" si="1"/>
        <v>8.8713827240000001</v>
      </c>
      <c r="O9" s="460"/>
      <c r="P9" s="574"/>
      <c r="Q9" s="387"/>
      <c r="R9" s="561">
        <f t="shared" si="2"/>
        <v>332.00399999999968</v>
      </c>
      <c r="S9" s="573">
        <v>1481.4430000000002</v>
      </c>
    </row>
    <row r="10" spans="2:19" ht="66" customHeight="1">
      <c r="B10" s="823"/>
      <c r="C10" s="826"/>
      <c r="D10" s="580" t="s">
        <v>126</v>
      </c>
      <c r="E10" s="211">
        <v>292465</v>
      </c>
      <c r="F10" s="211" t="s">
        <v>273</v>
      </c>
      <c r="G10" s="583">
        <v>86</v>
      </c>
      <c r="H10" s="583">
        <v>22</v>
      </c>
      <c r="I10" s="588">
        <f t="shared" si="0"/>
        <v>192.55000000000007</v>
      </c>
      <c r="J10" s="589">
        <v>567.45000000000005</v>
      </c>
      <c r="K10" s="583">
        <v>283</v>
      </c>
      <c r="L10" s="588"/>
      <c r="M10" s="597" t="s">
        <v>266</v>
      </c>
      <c r="N10" s="596">
        <f t="shared" si="1"/>
        <v>2.7759654000000005</v>
      </c>
      <c r="O10" s="460"/>
      <c r="P10" s="574"/>
      <c r="Q10" s="387"/>
      <c r="R10" s="561">
        <f t="shared" si="2"/>
        <v>192.55000000000007</v>
      </c>
      <c r="S10" s="573">
        <v>374.9</v>
      </c>
    </row>
    <row r="11" spans="2:19" ht="66" customHeight="1" thickBot="1">
      <c r="B11" s="823"/>
      <c r="C11" s="826"/>
      <c r="D11" s="581" t="s">
        <v>90</v>
      </c>
      <c r="E11" s="112">
        <v>92045</v>
      </c>
      <c r="F11" s="112" t="s">
        <v>274</v>
      </c>
      <c r="G11" s="584"/>
      <c r="H11" s="584"/>
      <c r="I11" s="588">
        <f t="shared" si="0"/>
        <v>0</v>
      </c>
      <c r="J11" s="590"/>
      <c r="K11" s="584"/>
      <c r="L11" s="590">
        <v>111.5</v>
      </c>
      <c r="M11" s="595" t="s">
        <v>265</v>
      </c>
      <c r="N11" s="596">
        <f t="shared" si="1"/>
        <v>0</v>
      </c>
      <c r="O11" s="566"/>
      <c r="P11" s="567"/>
      <c r="Q11" s="6"/>
      <c r="R11" s="561">
        <f t="shared" si="2"/>
        <v>0</v>
      </c>
      <c r="S11" s="391"/>
    </row>
    <row r="12" spans="2:19" ht="66" customHeight="1" thickBot="1">
      <c r="B12" s="824"/>
      <c r="C12" s="827"/>
      <c r="D12" s="591" t="s">
        <v>6</v>
      </c>
      <c r="E12" s="585">
        <f>SUM(E6:E11)</f>
        <v>3223616</v>
      </c>
      <c r="F12" s="585"/>
      <c r="G12" s="585">
        <f t="shared" ref="G12:L12" si="3">SUM(G6:G11)</f>
        <v>769</v>
      </c>
      <c r="H12" s="585">
        <f t="shared" si="3"/>
        <v>254</v>
      </c>
      <c r="I12" s="592">
        <f t="shared" si="3"/>
        <v>3806.9339999999993</v>
      </c>
      <c r="J12" s="592">
        <f t="shared" si="3"/>
        <v>26442.499</v>
      </c>
      <c r="K12" s="585">
        <f t="shared" si="3"/>
        <v>15497</v>
      </c>
      <c r="L12" s="592">
        <f t="shared" si="3"/>
        <v>6963.2179999999998</v>
      </c>
      <c r="M12" s="569"/>
      <c r="N12" s="598">
        <f>SUM(N6:N11)</f>
        <v>129.356705108</v>
      </c>
      <c r="O12" s="554"/>
      <c r="P12" s="548"/>
      <c r="Q12" s="6"/>
      <c r="R12" s="510"/>
      <c r="S12" s="190">
        <v>0</v>
      </c>
    </row>
    <row r="13" spans="2:19" ht="38.25" hidden="1" customHeight="1">
      <c r="E13" s="11"/>
      <c r="F13" s="11"/>
      <c r="G13" s="11"/>
      <c r="H13" s="11"/>
    </row>
    <row r="14" spans="2:19">
      <c r="J14" s="3"/>
    </row>
    <row r="15" spans="2:19" ht="39.75" customHeight="1">
      <c r="B15" s="838" t="s">
        <v>288</v>
      </c>
      <c r="C15" s="838"/>
      <c r="D15" s="838"/>
      <c r="E15" s="838"/>
      <c r="F15" s="838"/>
      <c r="G15" s="838"/>
      <c r="H15" s="838"/>
      <c r="I15" s="838"/>
      <c r="J15" s="838"/>
      <c r="K15" s="838"/>
      <c r="L15" s="838"/>
      <c r="M15" s="838"/>
      <c r="N15" s="838"/>
    </row>
    <row r="16" spans="2:19" ht="15.75" thickBot="1"/>
    <row r="17" spans="5:15" ht="72">
      <c r="E17" s="578" t="s">
        <v>279</v>
      </c>
      <c r="F17" s="578" t="s">
        <v>280</v>
      </c>
      <c r="G17" s="578" t="s">
        <v>286</v>
      </c>
      <c r="H17" s="578" t="s">
        <v>287</v>
      </c>
      <c r="I17" s="578" t="s">
        <v>289</v>
      </c>
      <c r="K17" s="3"/>
    </row>
    <row r="18" spans="5:15" s="149" customFormat="1" ht="27" customHeight="1">
      <c r="E18" s="839" t="s">
        <v>127</v>
      </c>
      <c r="F18" s="258" t="s">
        <v>281</v>
      </c>
      <c r="G18" s="258">
        <v>185</v>
      </c>
      <c r="H18" s="258">
        <v>177</v>
      </c>
      <c r="I18" s="599">
        <v>1566.8667</v>
      </c>
      <c r="O18" s="357"/>
    </row>
    <row r="19" spans="5:15" s="149" customFormat="1" ht="27" customHeight="1">
      <c r="E19" s="839"/>
      <c r="F19" s="258" t="s">
        <v>282</v>
      </c>
      <c r="G19" s="258">
        <v>46</v>
      </c>
      <c r="H19" s="258">
        <v>46</v>
      </c>
      <c r="I19" s="599">
        <v>246.58</v>
      </c>
      <c r="O19" s="357"/>
    </row>
    <row r="20" spans="5:15" s="149" customFormat="1" ht="27" customHeight="1">
      <c r="E20" s="839"/>
      <c r="F20" s="258" t="s">
        <v>283</v>
      </c>
      <c r="G20" s="258">
        <v>44</v>
      </c>
      <c r="H20" s="258">
        <v>20</v>
      </c>
      <c r="I20" s="599">
        <v>0</v>
      </c>
      <c r="O20" s="357"/>
    </row>
    <row r="21" spans="5:15" s="149" customFormat="1" ht="27" customHeight="1">
      <c r="E21" s="839"/>
      <c r="F21" s="258" t="s">
        <v>284</v>
      </c>
      <c r="G21" s="258">
        <v>64</v>
      </c>
      <c r="H21" s="258">
        <v>61</v>
      </c>
      <c r="I21" s="599">
        <v>0</v>
      </c>
      <c r="O21" s="357"/>
    </row>
    <row r="22" spans="5:15" s="149" customFormat="1" ht="27" customHeight="1">
      <c r="E22" s="839"/>
      <c r="F22" s="258" t="s">
        <v>285</v>
      </c>
      <c r="G22" s="258">
        <v>30</v>
      </c>
      <c r="H22" s="258">
        <v>0</v>
      </c>
      <c r="I22" s="599">
        <v>0</v>
      </c>
      <c r="O22" s="357"/>
    </row>
    <row r="23" spans="5:15" s="149" customFormat="1" ht="27" customHeight="1">
      <c r="E23" s="258"/>
      <c r="F23" s="258" t="s">
        <v>6</v>
      </c>
      <c r="G23" s="258">
        <f>SUM(G18:G22)</f>
        <v>369</v>
      </c>
      <c r="H23" s="258">
        <f>SUM(H18:H22)</f>
        <v>304</v>
      </c>
      <c r="I23" s="599">
        <f>SUM(I18:I22)</f>
        <v>1813.4467</v>
      </c>
      <c r="O23" s="357"/>
    </row>
  </sheetData>
  <mergeCells count="7">
    <mergeCell ref="B15:N15"/>
    <mergeCell ref="B6:B12"/>
    <mergeCell ref="C6:C12"/>
    <mergeCell ref="E18:E22"/>
    <mergeCell ref="B2:P2"/>
    <mergeCell ref="M3:N3"/>
    <mergeCell ref="B5:C5"/>
  </mergeCells>
  <printOptions horizontalCentered="1"/>
  <pageMargins left="0.43307086614173229" right="0.23622047244094491" top="0.79" bottom="0.47244094488188981" header="0.15748031496062992" footer="0.47244094488188981"/>
  <pageSetup paperSize="9" scale="5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S29"/>
  <sheetViews>
    <sheetView zoomScale="70" zoomScaleNormal="70" zoomScaleSheetLayoutView="85" workbookViewId="0">
      <selection activeCell="J9" sqref="J9"/>
    </sheetView>
  </sheetViews>
  <sheetFormatPr defaultColWidth="9.140625" defaultRowHeight="15"/>
  <cols>
    <col min="1" max="1" width="9.140625" style="1"/>
    <col min="2" max="2" width="7" style="1" customWidth="1"/>
    <col min="3" max="3" width="18.5703125" style="1" customWidth="1"/>
    <col min="4" max="4" width="25.140625" style="1" customWidth="1"/>
    <col min="5" max="5" width="18.7109375" style="1" customWidth="1"/>
    <col min="6" max="6" width="34.570312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357" hidden="1" customWidth="1"/>
    <col min="16" max="16" width="14.42578125" style="1" hidden="1" customWidth="1"/>
    <col min="17" max="17" width="5.140625" style="1" customWidth="1"/>
    <col min="18" max="18" width="16.7109375" style="1" customWidth="1"/>
    <col min="19" max="19" width="20.28515625" style="1" customWidth="1"/>
    <col min="20" max="20" width="10.5703125" style="1" bestFit="1" customWidth="1"/>
    <col min="21" max="16384" width="9.140625" style="1"/>
  </cols>
  <sheetData>
    <row r="1" spans="2:19" ht="19.5" customHeight="1">
      <c r="D1" s="9"/>
      <c r="E1" s="9"/>
      <c r="F1" s="9"/>
      <c r="G1" s="675" t="s">
        <v>292</v>
      </c>
      <c r="H1" s="675"/>
      <c r="I1" s="675"/>
    </row>
    <row r="2" spans="2:19" ht="33" customHeight="1">
      <c r="B2" s="848" t="s">
        <v>276</v>
      </c>
      <c r="C2" s="848"/>
      <c r="D2" s="848"/>
      <c r="E2" s="848"/>
      <c r="F2" s="848"/>
      <c r="G2" s="848"/>
      <c r="H2" s="848"/>
      <c r="I2" s="848"/>
      <c r="J2" s="848"/>
      <c r="K2" s="848"/>
      <c r="L2" s="848"/>
      <c r="M2" s="848"/>
      <c r="N2" s="848"/>
      <c r="O2" s="848"/>
      <c r="P2" s="848"/>
      <c r="Q2" s="364"/>
    </row>
    <row r="3" spans="2:19" ht="24.75" customHeight="1" thickBot="1">
      <c r="B3" s="577" t="s">
        <v>296</v>
      </c>
      <c r="C3" s="577"/>
      <c r="D3" s="577"/>
      <c r="K3" s="250"/>
      <c r="L3" s="250"/>
      <c r="M3" s="828" t="s">
        <v>136</v>
      </c>
      <c r="N3" s="828"/>
      <c r="P3" s="268"/>
      <c r="Q3" s="268"/>
    </row>
    <row r="4" spans="2:19" ht="73.5" customHeight="1" thickBot="1">
      <c r="B4" s="556" t="s">
        <v>132</v>
      </c>
      <c r="C4" s="228" t="s">
        <v>0</v>
      </c>
      <c r="D4" s="557" t="s">
        <v>1</v>
      </c>
      <c r="E4" s="228" t="s">
        <v>277</v>
      </c>
      <c r="F4" s="228" t="s">
        <v>267</v>
      </c>
      <c r="G4" s="228" t="s">
        <v>195</v>
      </c>
      <c r="H4" s="228" t="s">
        <v>290</v>
      </c>
      <c r="I4" s="558" t="s">
        <v>297</v>
      </c>
      <c r="J4" s="228" t="s">
        <v>289</v>
      </c>
      <c r="K4" s="228" t="s">
        <v>24</v>
      </c>
      <c r="L4" s="559" t="s">
        <v>269</v>
      </c>
      <c r="M4" s="228" t="s">
        <v>88</v>
      </c>
      <c r="N4" s="560" t="s">
        <v>138</v>
      </c>
      <c r="O4" s="555" t="s">
        <v>189</v>
      </c>
      <c r="P4" s="381" t="s">
        <v>191</v>
      </c>
      <c r="Q4" s="383"/>
      <c r="R4" s="575"/>
      <c r="S4" s="575"/>
    </row>
    <row r="5" spans="2:19" ht="33" customHeight="1">
      <c r="B5" s="821">
        <v>4</v>
      </c>
      <c r="C5" s="829" t="s">
        <v>243</v>
      </c>
      <c r="D5" s="605" t="s">
        <v>86</v>
      </c>
      <c r="E5" s="33">
        <v>103315</v>
      </c>
      <c r="F5" s="33" t="s">
        <v>298</v>
      </c>
      <c r="G5" s="600">
        <v>136</v>
      </c>
      <c r="H5" s="600">
        <v>9</v>
      </c>
      <c r="I5" s="586">
        <f>R5</f>
        <v>76.599999999999994</v>
      </c>
      <c r="J5" s="586">
        <v>155.35</v>
      </c>
      <c r="K5" s="582">
        <v>130</v>
      </c>
      <c r="L5" s="586">
        <v>0</v>
      </c>
      <c r="M5" s="593" t="s">
        <v>245</v>
      </c>
      <c r="N5" s="594">
        <f t="shared" ref="N5:N15" si="0">J5*4892/1000000</f>
        <v>0.75997219999999999</v>
      </c>
      <c r="O5" s="460"/>
      <c r="P5" s="574"/>
      <c r="Q5" s="387"/>
      <c r="R5" s="561">
        <f t="shared" ref="R5:R15" si="1">J5-S5</f>
        <v>76.599999999999994</v>
      </c>
      <c r="S5" s="573">
        <v>78.75</v>
      </c>
    </row>
    <row r="6" spans="2:19" ht="33" customHeight="1">
      <c r="B6" s="822"/>
      <c r="C6" s="825"/>
      <c r="D6" s="606" t="s">
        <v>275</v>
      </c>
      <c r="E6" s="211">
        <v>59508</v>
      </c>
      <c r="F6" s="211" t="s">
        <v>271</v>
      </c>
      <c r="G6" s="601">
        <v>38</v>
      </c>
      <c r="H6" s="601">
        <v>38</v>
      </c>
      <c r="I6" s="588">
        <f t="shared" ref="I6:I12" si="2">R6</f>
        <v>1381.4599999999991</v>
      </c>
      <c r="J6" s="588">
        <v>22930.95</v>
      </c>
      <c r="K6" s="583">
        <v>13894</v>
      </c>
      <c r="L6" s="588">
        <v>6082.25</v>
      </c>
      <c r="M6" s="595" t="s">
        <v>259</v>
      </c>
      <c r="N6" s="596">
        <f t="shared" si="0"/>
        <v>112.17820740000001</v>
      </c>
      <c r="O6" s="460"/>
      <c r="P6" s="574"/>
      <c r="Q6" s="387"/>
      <c r="R6" s="561">
        <f t="shared" si="1"/>
        <v>1381.4599999999991</v>
      </c>
      <c r="S6" s="573">
        <v>21549.49</v>
      </c>
    </row>
    <row r="7" spans="2:19" ht="33" customHeight="1">
      <c r="B7" s="822"/>
      <c r="C7" s="825"/>
      <c r="D7" s="606" t="s">
        <v>151</v>
      </c>
      <c r="E7" s="211">
        <v>1368045</v>
      </c>
      <c r="F7" s="211" t="s">
        <v>272</v>
      </c>
      <c r="G7" s="601">
        <v>311</v>
      </c>
      <c r="H7" s="601">
        <v>140</v>
      </c>
      <c r="I7" s="588">
        <f t="shared" si="2"/>
        <v>0</v>
      </c>
      <c r="J7" s="588">
        <v>6499.3629999999994</v>
      </c>
      <c r="K7" s="583">
        <v>3322</v>
      </c>
      <c r="L7" s="588"/>
      <c r="M7" s="595" t="s">
        <v>246</v>
      </c>
      <c r="N7" s="596">
        <f t="shared" si="0"/>
        <v>31.794883795999997</v>
      </c>
      <c r="O7" s="460"/>
      <c r="P7" s="574"/>
      <c r="Q7" s="387"/>
      <c r="R7" s="561">
        <f t="shared" si="1"/>
        <v>0</v>
      </c>
      <c r="S7" s="573">
        <v>6499.3629999999994</v>
      </c>
    </row>
    <row r="8" spans="2:19" ht="33" customHeight="1">
      <c r="B8" s="822"/>
      <c r="C8" s="825"/>
      <c r="D8" s="841" t="s">
        <v>127</v>
      </c>
      <c r="E8" s="844">
        <v>1308238</v>
      </c>
      <c r="F8" s="211" t="s">
        <v>281</v>
      </c>
      <c r="G8" s="610">
        <v>177</v>
      </c>
      <c r="H8" s="610">
        <v>49</v>
      </c>
      <c r="I8" s="611">
        <f t="shared" si="2"/>
        <v>346.9429999999993</v>
      </c>
      <c r="J8" s="611">
        <v>2815.2099999999991</v>
      </c>
      <c r="K8" s="610">
        <v>1518</v>
      </c>
      <c r="L8" s="849">
        <v>769.46799999999996</v>
      </c>
      <c r="M8" s="847" t="s">
        <v>249</v>
      </c>
      <c r="N8" s="613">
        <f t="shared" si="0"/>
        <v>13.772007319999997</v>
      </c>
      <c r="O8" s="460"/>
      <c r="P8" s="574"/>
      <c r="Q8" s="387"/>
      <c r="R8" s="561">
        <f t="shared" si="1"/>
        <v>346.9429999999993</v>
      </c>
      <c r="S8" s="612">
        <v>2468.2669999999998</v>
      </c>
    </row>
    <row r="9" spans="2:19" ht="33" customHeight="1">
      <c r="B9" s="823"/>
      <c r="C9" s="826"/>
      <c r="D9" s="842"/>
      <c r="E9" s="845"/>
      <c r="F9" s="211" t="s">
        <v>282</v>
      </c>
      <c r="G9" s="610">
        <v>46</v>
      </c>
      <c r="H9" s="610">
        <v>7</v>
      </c>
      <c r="I9" s="611">
        <f t="shared" si="2"/>
        <v>39.074999999999989</v>
      </c>
      <c r="J9" s="611">
        <v>422.42700000000002</v>
      </c>
      <c r="K9" s="610">
        <v>231</v>
      </c>
      <c r="L9" s="850"/>
      <c r="M9" s="847"/>
      <c r="N9" s="613">
        <f t="shared" si="0"/>
        <v>2.0665128840000002</v>
      </c>
      <c r="O9" s="460"/>
      <c r="P9" s="574"/>
      <c r="Q9" s="387"/>
      <c r="R9" s="561">
        <f>J9-S9</f>
        <v>39.074999999999989</v>
      </c>
      <c r="S9" s="612">
        <v>383.35200000000003</v>
      </c>
    </row>
    <row r="10" spans="2:19" ht="33" customHeight="1">
      <c r="B10" s="823"/>
      <c r="C10" s="826"/>
      <c r="D10" s="842"/>
      <c r="E10" s="845"/>
      <c r="F10" s="211" t="s">
        <v>283</v>
      </c>
      <c r="G10" s="610">
        <v>20</v>
      </c>
      <c r="H10" s="610">
        <v>0</v>
      </c>
      <c r="I10" s="611">
        <f t="shared" si="2"/>
        <v>0</v>
      </c>
      <c r="J10" s="611">
        <v>0</v>
      </c>
      <c r="K10" s="610">
        <v>0</v>
      </c>
      <c r="L10" s="850"/>
      <c r="M10" s="847"/>
      <c r="N10" s="613">
        <f t="shared" si="0"/>
        <v>0</v>
      </c>
      <c r="O10" s="460"/>
      <c r="P10" s="574"/>
      <c r="Q10" s="387"/>
      <c r="R10" s="561"/>
      <c r="S10" s="612"/>
    </row>
    <row r="11" spans="2:19" ht="33" customHeight="1">
      <c r="B11" s="823"/>
      <c r="C11" s="826"/>
      <c r="D11" s="842"/>
      <c r="E11" s="845"/>
      <c r="F11" s="211" t="s">
        <v>284</v>
      </c>
      <c r="G11" s="610">
        <v>61</v>
      </c>
      <c r="H11" s="610">
        <v>0</v>
      </c>
      <c r="I11" s="611">
        <f t="shared" si="2"/>
        <v>0</v>
      </c>
      <c r="J11" s="611">
        <v>0</v>
      </c>
      <c r="K11" s="610">
        <v>0</v>
      </c>
      <c r="L11" s="850"/>
      <c r="M11" s="847"/>
      <c r="N11" s="613">
        <f t="shared" si="0"/>
        <v>0</v>
      </c>
      <c r="O11" s="460"/>
      <c r="P11" s="574"/>
      <c r="Q11" s="387"/>
      <c r="R11" s="561"/>
      <c r="S11" s="612"/>
    </row>
    <row r="12" spans="2:19" ht="33" customHeight="1">
      <c r="B12" s="823"/>
      <c r="C12" s="826"/>
      <c r="D12" s="843"/>
      <c r="E12" s="846"/>
      <c r="F12" s="211" t="s">
        <v>285</v>
      </c>
      <c r="G12" s="610">
        <v>0</v>
      </c>
      <c r="H12" s="610">
        <v>0</v>
      </c>
      <c r="I12" s="611">
        <f t="shared" si="2"/>
        <v>0</v>
      </c>
      <c r="J12" s="611">
        <v>0</v>
      </c>
      <c r="K12" s="610">
        <v>0</v>
      </c>
      <c r="L12" s="851"/>
      <c r="M12" s="847"/>
      <c r="N12" s="613">
        <f t="shared" si="0"/>
        <v>0</v>
      </c>
      <c r="O12" s="460"/>
      <c r="P12" s="574"/>
      <c r="Q12" s="387"/>
      <c r="R12" s="561"/>
      <c r="S12" s="612"/>
    </row>
    <row r="13" spans="2:19" ht="33" customHeight="1">
      <c r="B13" s="823"/>
      <c r="C13" s="826"/>
      <c r="D13" s="606"/>
      <c r="E13" s="211"/>
      <c r="F13" s="614" t="s">
        <v>6</v>
      </c>
      <c r="G13" s="615">
        <f>SUM(G8:G12)</f>
        <v>304</v>
      </c>
      <c r="H13" s="615">
        <f>SUM(H8:H12)</f>
        <v>56</v>
      </c>
      <c r="I13" s="616">
        <f>SUM(I8:I12)</f>
        <v>386.01799999999929</v>
      </c>
      <c r="J13" s="616">
        <f>SUM(J8:J12)</f>
        <v>3237.6369999999993</v>
      </c>
      <c r="K13" s="615">
        <f>SUM(K8:K12)</f>
        <v>1749</v>
      </c>
      <c r="L13" s="617">
        <f>SUM(L8)</f>
        <v>769.46799999999996</v>
      </c>
      <c r="M13" s="595"/>
      <c r="N13" s="596"/>
      <c r="O13" s="460"/>
      <c r="P13" s="574"/>
      <c r="Q13" s="387"/>
      <c r="R13" s="561"/>
      <c r="S13" s="608"/>
    </row>
    <row r="14" spans="2:19" ht="33" customHeight="1">
      <c r="B14" s="823"/>
      <c r="C14" s="826"/>
      <c r="D14" s="606" t="s">
        <v>126</v>
      </c>
      <c r="E14" s="211">
        <v>292465</v>
      </c>
      <c r="F14" s="211" t="s">
        <v>273</v>
      </c>
      <c r="G14" s="601">
        <v>86</v>
      </c>
      <c r="H14" s="601">
        <v>22</v>
      </c>
      <c r="I14" s="588">
        <f>R14</f>
        <v>106.35000000000002</v>
      </c>
      <c r="J14" s="588">
        <v>837.35</v>
      </c>
      <c r="K14" s="583">
        <v>412</v>
      </c>
      <c r="L14" s="588"/>
      <c r="M14" s="597" t="s">
        <v>266</v>
      </c>
      <c r="N14" s="596">
        <f t="shared" si="0"/>
        <v>4.0963162000000004</v>
      </c>
      <c r="O14" s="460"/>
      <c r="P14" s="574"/>
      <c r="Q14" s="387"/>
      <c r="R14" s="561">
        <f t="shared" si="1"/>
        <v>106.35000000000002</v>
      </c>
      <c r="S14" s="573">
        <v>731</v>
      </c>
    </row>
    <row r="15" spans="2:19" ht="33" customHeight="1" thickBot="1">
      <c r="B15" s="823"/>
      <c r="C15" s="826"/>
      <c r="D15" s="607" t="s">
        <v>90</v>
      </c>
      <c r="E15" s="112">
        <v>92045</v>
      </c>
      <c r="F15" s="112" t="s">
        <v>274</v>
      </c>
      <c r="G15" s="602"/>
      <c r="H15" s="602"/>
      <c r="I15" s="588">
        <f>R15</f>
        <v>0</v>
      </c>
      <c r="J15" s="590"/>
      <c r="K15" s="584"/>
      <c r="L15" s="590">
        <v>111.5</v>
      </c>
      <c r="M15" s="595" t="s">
        <v>265</v>
      </c>
      <c r="N15" s="596">
        <f t="shared" si="0"/>
        <v>0</v>
      </c>
      <c r="O15" s="566"/>
      <c r="P15" s="567"/>
      <c r="Q15" s="6"/>
      <c r="R15" s="561">
        <f t="shared" si="1"/>
        <v>0</v>
      </c>
      <c r="S15" s="391"/>
    </row>
    <row r="16" spans="2:19" ht="43.5" customHeight="1" thickBot="1">
      <c r="B16" s="824"/>
      <c r="C16" s="827"/>
      <c r="D16" s="591" t="s">
        <v>6</v>
      </c>
      <c r="E16" s="585">
        <f>SUM(E5:E15)</f>
        <v>3223616</v>
      </c>
      <c r="F16" s="585"/>
      <c r="G16" s="603">
        <f t="shared" ref="G16:L16" si="3">G15+G14+G13+G7+G6+G5</f>
        <v>875</v>
      </c>
      <c r="H16" s="603">
        <f t="shared" si="3"/>
        <v>265</v>
      </c>
      <c r="I16" s="609">
        <f t="shared" si="3"/>
        <v>1950.4279999999983</v>
      </c>
      <c r="J16" s="609">
        <f t="shared" si="3"/>
        <v>33660.65</v>
      </c>
      <c r="K16" s="603">
        <f t="shared" si="3"/>
        <v>19507</v>
      </c>
      <c r="L16" s="609">
        <f t="shared" si="3"/>
        <v>6963.2179999999998</v>
      </c>
      <c r="M16" s="603"/>
      <c r="N16" s="609">
        <f>N15+N14+N13+N7+N6+N5</f>
        <v>148.829379596</v>
      </c>
      <c r="O16" s="554"/>
      <c r="P16" s="548"/>
      <c r="Q16" s="6"/>
      <c r="R16" s="510"/>
      <c r="S16" s="190">
        <v>0</v>
      </c>
    </row>
    <row r="17" spans="2:15" ht="38.25" hidden="1" customHeight="1">
      <c r="E17" s="11"/>
      <c r="F17" s="11"/>
      <c r="G17" s="11"/>
      <c r="H17" s="11"/>
    </row>
    <row r="18" spans="2:15">
      <c r="J18" s="3"/>
    </row>
    <row r="19" spans="2:15" ht="39.75" hidden="1" customHeight="1">
      <c r="B19" s="838" t="s">
        <v>288</v>
      </c>
      <c r="C19" s="838"/>
      <c r="D19" s="838"/>
      <c r="E19" s="838"/>
      <c r="F19" s="838"/>
      <c r="G19" s="838"/>
      <c r="H19" s="838"/>
      <c r="I19" s="838"/>
      <c r="J19" s="838"/>
      <c r="K19" s="838"/>
      <c r="L19" s="838"/>
      <c r="M19" s="838"/>
      <c r="N19" s="838"/>
    </row>
    <row r="20" spans="2:15" ht="15.75" hidden="1" thickBot="1"/>
    <row r="21" spans="2:15" ht="72" hidden="1">
      <c r="E21" s="578" t="s">
        <v>279</v>
      </c>
      <c r="F21" s="578" t="s">
        <v>280</v>
      </c>
      <c r="G21" s="578" t="s">
        <v>286</v>
      </c>
      <c r="H21" s="578" t="s">
        <v>287</v>
      </c>
      <c r="I21" s="578" t="s">
        <v>289</v>
      </c>
      <c r="K21" s="3"/>
    </row>
    <row r="22" spans="2:15" s="149" customFormat="1" ht="27" hidden="1" customHeight="1">
      <c r="E22" s="839" t="s">
        <v>127</v>
      </c>
      <c r="F22" s="258" t="s">
        <v>281</v>
      </c>
      <c r="G22" s="258">
        <v>185</v>
      </c>
      <c r="H22" s="258">
        <v>177</v>
      </c>
      <c r="I22" s="599">
        <v>1566.8667</v>
      </c>
      <c r="O22" s="357"/>
    </row>
    <row r="23" spans="2:15" s="149" customFormat="1" ht="27" hidden="1" customHeight="1">
      <c r="E23" s="839"/>
      <c r="F23" s="258" t="s">
        <v>282</v>
      </c>
      <c r="G23" s="258">
        <v>46</v>
      </c>
      <c r="H23" s="258">
        <v>46</v>
      </c>
      <c r="I23" s="599">
        <v>246.58</v>
      </c>
      <c r="O23" s="357"/>
    </row>
    <row r="24" spans="2:15" s="149" customFormat="1" ht="27" hidden="1" customHeight="1">
      <c r="E24" s="839"/>
      <c r="F24" s="258" t="s">
        <v>283</v>
      </c>
      <c r="G24" s="258">
        <v>44</v>
      </c>
      <c r="H24" s="258">
        <v>20</v>
      </c>
      <c r="I24" s="599">
        <v>0</v>
      </c>
      <c r="O24" s="357"/>
    </row>
    <row r="25" spans="2:15" s="149" customFormat="1" ht="27" hidden="1" customHeight="1">
      <c r="E25" s="839"/>
      <c r="F25" s="258" t="s">
        <v>284</v>
      </c>
      <c r="G25" s="258">
        <v>64</v>
      </c>
      <c r="H25" s="258">
        <v>61</v>
      </c>
      <c r="I25" s="599">
        <v>0</v>
      </c>
      <c r="O25" s="357"/>
    </row>
    <row r="26" spans="2:15" s="149" customFormat="1" ht="27" hidden="1" customHeight="1">
      <c r="E26" s="839"/>
      <c r="F26" s="258" t="s">
        <v>285</v>
      </c>
      <c r="G26" s="258">
        <v>30</v>
      </c>
      <c r="H26" s="258">
        <v>0</v>
      </c>
      <c r="I26" s="599">
        <v>0</v>
      </c>
      <c r="O26" s="357"/>
    </row>
    <row r="27" spans="2:15" s="149" customFormat="1" ht="27" hidden="1" customHeight="1">
      <c r="E27" s="258"/>
      <c r="F27" s="258" t="s">
        <v>6</v>
      </c>
      <c r="G27" s="258">
        <f>SUM(G22:G26)</f>
        <v>369</v>
      </c>
      <c r="H27" s="258">
        <f>SUM(H22:H26)</f>
        <v>304</v>
      </c>
      <c r="I27" s="599">
        <f>SUM(I22:I26)</f>
        <v>1813.4467</v>
      </c>
      <c r="O27" s="357"/>
    </row>
    <row r="28" spans="2:15" hidden="1"/>
    <row r="29" spans="2:15" hidden="1"/>
  </sheetData>
  <mergeCells count="11">
    <mergeCell ref="G1:I1"/>
    <mergeCell ref="E22:E26"/>
    <mergeCell ref="D8:D12"/>
    <mergeCell ref="E8:E12"/>
    <mergeCell ref="M8:M12"/>
    <mergeCell ref="B2:P2"/>
    <mergeCell ref="M3:N3"/>
    <mergeCell ref="B5:B16"/>
    <mergeCell ref="C5:C16"/>
    <mergeCell ref="B19:N19"/>
    <mergeCell ref="L8:L12"/>
  </mergeCells>
  <printOptions horizontalCentered="1"/>
  <pageMargins left="0.43307086614173229" right="0.23622047244094491" top="0.79" bottom="0.47244094488188981" header="0.15748031496062992" footer="0.47244094488188981"/>
  <pageSetup paperSize="9" scale="53"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B1:P13"/>
  <sheetViews>
    <sheetView zoomScale="70" zoomScaleNormal="70" zoomScaleSheetLayoutView="85" workbookViewId="0">
      <selection activeCell="B2" sqref="B2:M12"/>
    </sheetView>
  </sheetViews>
  <sheetFormatPr defaultColWidth="9.140625" defaultRowHeight="15"/>
  <cols>
    <col min="1" max="1" width="9.140625" style="1"/>
    <col min="2" max="2" width="7" style="1" customWidth="1"/>
    <col min="3" max="3" width="18.5703125" style="1" customWidth="1"/>
    <col min="4" max="4" width="26" style="1" customWidth="1"/>
    <col min="5" max="5" width="19" style="1" customWidth="1"/>
    <col min="6" max="6" width="17.85546875" style="1" customWidth="1"/>
    <col min="7" max="7" width="20.140625" style="1" customWidth="1"/>
    <col min="8" max="8" width="15.28515625" style="1" hidden="1" customWidth="1"/>
    <col min="9" max="9" width="19.42578125" style="1" hidden="1" customWidth="1"/>
    <col min="10" max="10" width="34.28515625" style="1" hidden="1" customWidth="1"/>
    <col min="11" max="11" width="14.28515625" style="1" customWidth="1"/>
    <col min="12" max="12" width="15.85546875" style="357" hidden="1" customWidth="1"/>
    <col min="13" max="13" width="14.42578125" style="1" hidden="1" customWidth="1"/>
    <col min="14" max="14" width="5.140625" style="1" customWidth="1"/>
    <col min="15" max="15" width="16.7109375" style="1" customWidth="1"/>
    <col min="16" max="16" width="20.28515625" style="1" customWidth="1"/>
    <col min="17" max="17" width="10.5703125" style="1" bestFit="1" customWidth="1"/>
    <col min="18" max="16384" width="9.140625" style="1"/>
  </cols>
  <sheetData>
    <row r="1" spans="2:16" ht="19.5" customHeight="1">
      <c r="D1" s="9"/>
      <c r="E1" s="9"/>
      <c r="F1" s="9"/>
    </row>
    <row r="2" spans="2:16" ht="33" customHeight="1">
      <c r="B2" s="800" t="s">
        <v>276</v>
      </c>
      <c r="C2" s="800"/>
      <c r="D2" s="800"/>
      <c r="E2" s="800"/>
      <c r="F2" s="800"/>
      <c r="G2" s="800"/>
      <c r="H2" s="800"/>
      <c r="I2" s="800"/>
      <c r="J2" s="800"/>
      <c r="K2" s="800"/>
      <c r="L2" s="800"/>
      <c r="M2" s="800"/>
      <c r="N2" s="364"/>
    </row>
    <row r="3" spans="2:16" ht="24.75" customHeight="1" thickBot="1">
      <c r="B3" s="577" t="s">
        <v>294</v>
      </c>
      <c r="C3" s="577"/>
      <c r="D3" s="577"/>
      <c r="G3" s="852" t="s">
        <v>136</v>
      </c>
      <c r="H3" s="852"/>
      <c r="I3" s="852"/>
      <c r="J3" s="852"/>
      <c r="K3" s="852"/>
      <c r="M3" s="268"/>
      <c r="N3" s="268"/>
    </row>
    <row r="4" spans="2:16" ht="73.5" customHeight="1" thickBot="1">
      <c r="B4" s="556" t="s">
        <v>132</v>
      </c>
      <c r="C4" s="228" t="s">
        <v>0</v>
      </c>
      <c r="D4" s="557" t="s">
        <v>1</v>
      </c>
      <c r="E4" s="228" t="s">
        <v>277</v>
      </c>
      <c r="F4" s="558" t="s">
        <v>295</v>
      </c>
      <c r="G4" s="228" t="s">
        <v>289</v>
      </c>
      <c r="H4" s="228" t="s">
        <v>24</v>
      </c>
      <c r="I4" s="559" t="s">
        <v>269</v>
      </c>
      <c r="J4" s="228" t="s">
        <v>88</v>
      </c>
      <c r="K4" s="560" t="s">
        <v>138</v>
      </c>
      <c r="L4" s="555" t="s">
        <v>189</v>
      </c>
      <c r="M4" s="381" t="s">
        <v>191</v>
      </c>
      <c r="N4" s="383"/>
      <c r="O4" s="575"/>
      <c r="P4" s="575"/>
    </row>
    <row r="5" spans="2:16" ht="25.5" customHeight="1" thickBot="1">
      <c r="B5" s="840" t="s">
        <v>237</v>
      </c>
      <c r="C5" s="840"/>
      <c r="D5" s="563"/>
      <c r="E5" s="384"/>
      <c r="F5" s="415"/>
      <c r="G5" s="415"/>
      <c r="H5" s="384"/>
      <c r="I5" s="415"/>
      <c r="J5" s="564"/>
      <c r="K5" s="415"/>
      <c r="L5" s="562"/>
      <c r="M5" s="414"/>
      <c r="N5" s="6"/>
      <c r="P5" s="576"/>
    </row>
    <row r="6" spans="2:16" ht="66" customHeight="1">
      <c r="B6" s="821">
        <v>1</v>
      </c>
      <c r="C6" s="829" t="s">
        <v>243</v>
      </c>
      <c r="D6" s="579" t="s">
        <v>86</v>
      </c>
      <c r="E6" s="33">
        <v>103315</v>
      </c>
      <c r="F6" s="586">
        <f t="shared" ref="F6:F11" si="0">O6</f>
        <v>11.799999999999997</v>
      </c>
      <c r="G6" s="587">
        <f>787.5/10</f>
        <v>78.75</v>
      </c>
      <c r="H6" s="582">
        <v>60</v>
      </c>
      <c r="I6" s="586">
        <v>0</v>
      </c>
      <c r="J6" s="593" t="s">
        <v>245</v>
      </c>
      <c r="K6" s="594">
        <f t="shared" ref="K6:K11" si="1">G6*4892/1000000</f>
        <v>0.385245</v>
      </c>
      <c r="L6" s="460"/>
      <c r="M6" s="574"/>
      <c r="N6" s="387"/>
      <c r="O6" s="561">
        <f t="shared" ref="O6:O11" si="2">G6-P6</f>
        <v>11.799999999999997</v>
      </c>
      <c r="P6" s="573">
        <v>66.95</v>
      </c>
    </row>
    <row r="7" spans="2:16" ht="66" customHeight="1">
      <c r="B7" s="822"/>
      <c r="C7" s="825"/>
      <c r="D7" s="580" t="s">
        <v>275</v>
      </c>
      <c r="E7" s="211">
        <v>59508</v>
      </c>
      <c r="F7" s="588">
        <f t="shared" si="0"/>
        <v>394.44000000000233</v>
      </c>
      <c r="G7" s="589">
        <v>21549.49</v>
      </c>
      <c r="H7" s="583">
        <v>12170</v>
      </c>
      <c r="I7" s="588">
        <v>6082.25</v>
      </c>
      <c r="J7" s="595" t="s">
        <v>259</v>
      </c>
      <c r="K7" s="596">
        <f t="shared" si="1"/>
        <v>105.42010508000001</v>
      </c>
      <c r="L7" s="460"/>
      <c r="M7" s="574"/>
      <c r="N7" s="387"/>
      <c r="O7" s="561">
        <f t="shared" si="2"/>
        <v>394.44000000000233</v>
      </c>
      <c r="P7" s="573">
        <v>21155.05</v>
      </c>
    </row>
    <row r="8" spans="2:16" ht="66" customHeight="1">
      <c r="B8" s="822"/>
      <c r="C8" s="825"/>
      <c r="D8" s="580" t="s">
        <v>151</v>
      </c>
      <c r="E8" s="211">
        <v>1368045</v>
      </c>
      <c r="F8" s="588">
        <f t="shared" si="0"/>
        <v>0</v>
      </c>
      <c r="G8" s="589">
        <v>6499.37</v>
      </c>
      <c r="H8" s="583">
        <v>2135</v>
      </c>
      <c r="I8" s="588"/>
      <c r="J8" s="595" t="s">
        <v>246</v>
      </c>
      <c r="K8" s="596">
        <f t="shared" si="1"/>
        <v>31.794918039999999</v>
      </c>
      <c r="L8" s="460"/>
      <c r="M8" s="574"/>
      <c r="N8" s="387"/>
      <c r="O8" s="561">
        <f t="shared" si="2"/>
        <v>0</v>
      </c>
      <c r="P8" s="573">
        <v>6499.37</v>
      </c>
    </row>
    <row r="9" spans="2:16" ht="66" customHeight="1">
      <c r="B9" s="822"/>
      <c r="C9" s="825"/>
      <c r="D9" s="580" t="s">
        <v>127</v>
      </c>
      <c r="E9" s="211">
        <v>1308238</v>
      </c>
      <c r="F9" s="588">
        <f t="shared" si="0"/>
        <v>495.72429999999986</v>
      </c>
      <c r="G9" s="589">
        <v>2808.9690000000001</v>
      </c>
      <c r="H9" s="583">
        <v>849</v>
      </c>
      <c r="I9" s="588">
        <v>769.46799999999996</v>
      </c>
      <c r="J9" s="597" t="s">
        <v>249</v>
      </c>
      <c r="K9" s="596">
        <f t="shared" si="1"/>
        <v>13.741476348000001</v>
      </c>
      <c r="L9" s="460"/>
      <c r="M9" s="574"/>
      <c r="N9" s="387"/>
      <c r="O9" s="561">
        <f t="shared" si="2"/>
        <v>495.72429999999986</v>
      </c>
      <c r="P9" s="573">
        <v>2313.2447000000002</v>
      </c>
    </row>
    <row r="10" spans="2:16" ht="66" customHeight="1">
      <c r="B10" s="823"/>
      <c r="C10" s="826"/>
      <c r="D10" s="580" t="s">
        <v>126</v>
      </c>
      <c r="E10" s="211">
        <v>292465</v>
      </c>
      <c r="F10" s="588">
        <f t="shared" si="0"/>
        <v>3</v>
      </c>
      <c r="G10" s="589">
        <v>731</v>
      </c>
      <c r="H10" s="583">
        <v>283</v>
      </c>
      <c r="I10" s="588"/>
      <c r="J10" s="597" t="s">
        <v>266</v>
      </c>
      <c r="K10" s="596">
        <f t="shared" si="1"/>
        <v>3.5760519999999998</v>
      </c>
      <c r="L10" s="460"/>
      <c r="M10" s="574"/>
      <c r="N10" s="387"/>
      <c r="O10" s="561">
        <f t="shared" si="2"/>
        <v>3</v>
      </c>
      <c r="P10" s="573">
        <v>728</v>
      </c>
    </row>
    <row r="11" spans="2:16" ht="66" customHeight="1" thickBot="1">
      <c r="B11" s="823"/>
      <c r="C11" s="826"/>
      <c r="D11" s="581" t="s">
        <v>90</v>
      </c>
      <c r="E11" s="112">
        <v>92045</v>
      </c>
      <c r="F11" s="588">
        <f t="shared" si="0"/>
        <v>0</v>
      </c>
      <c r="G11" s="590"/>
      <c r="H11" s="584"/>
      <c r="I11" s="590">
        <v>111.5</v>
      </c>
      <c r="J11" s="595" t="s">
        <v>265</v>
      </c>
      <c r="K11" s="596">
        <f t="shared" si="1"/>
        <v>0</v>
      </c>
      <c r="L11" s="566"/>
      <c r="M11" s="567"/>
      <c r="N11" s="6"/>
      <c r="O11" s="561">
        <f t="shared" si="2"/>
        <v>0</v>
      </c>
      <c r="P11" s="391"/>
    </row>
    <row r="12" spans="2:16" ht="66" customHeight="1" thickBot="1">
      <c r="B12" s="824"/>
      <c r="C12" s="827"/>
      <c r="D12" s="591" t="s">
        <v>6</v>
      </c>
      <c r="E12" s="585">
        <f>SUM(E6:E11)</f>
        <v>3223616</v>
      </c>
      <c r="F12" s="592">
        <f>SUM(F6:F11)</f>
        <v>904.96430000000214</v>
      </c>
      <c r="G12" s="592">
        <f>SUM(G6:G11)</f>
        <v>31667.579000000002</v>
      </c>
      <c r="H12" s="585">
        <f>SUM(H6:H11)</f>
        <v>15497</v>
      </c>
      <c r="I12" s="592">
        <f>SUM(I6:I11)</f>
        <v>6963.2179999999998</v>
      </c>
      <c r="J12" s="569"/>
      <c r="K12" s="598">
        <f>SUM(K6:K11)</f>
        <v>154.91779646800001</v>
      </c>
      <c r="L12" s="554"/>
      <c r="M12" s="548"/>
      <c r="N12" s="6"/>
      <c r="O12" s="510"/>
      <c r="P12" s="190">
        <v>0</v>
      </c>
    </row>
    <row r="13" spans="2:16" ht="38.25" hidden="1" customHeight="1">
      <c r="E13" s="11"/>
    </row>
  </sheetData>
  <mergeCells count="5">
    <mergeCell ref="G3:K3"/>
    <mergeCell ref="B2:M2"/>
    <mergeCell ref="B5:C5"/>
    <mergeCell ref="B6:B12"/>
    <mergeCell ref="C6:C12"/>
  </mergeCells>
  <printOptions horizontalCentered="1"/>
  <pageMargins left="0.43307086614173229" right="0.23622047244094491" top="0.79" bottom="0.47244094488188981" header="0.15748031496062992" footer="0.47244094488188981"/>
  <pageSetup paperSize="9" scale="75"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B1:L58"/>
  <sheetViews>
    <sheetView zoomScale="80" zoomScaleNormal="80" zoomScaleSheetLayoutView="85" workbookViewId="0">
      <selection activeCell="K12" sqref="K12"/>
    </sheetView>
  </sheetViews>
  <sheetFormatPr defaultColWidth="9.140625" defaultRowHeight="15"/>
  <cols>
    <col min="1" max="1" width="9.140625" style="1"/>
    <col min="2" max="2" width="7" style="1" customWidth="1"/>
    <col min="3" max="3" width="25.140625" style="1" customWidth="1"/>
    <col min="4" max="4" width="20.85546875" style="1" customWidth="1"/>
    <col min="5" max="5" width="16.7109375" style="1" customWidth="1"/>
    <col min="6" max="6" width="16" style="1" customWidth="1"/>
    <col min="7" max="7" width="18.85546875" style="1" customWidth="1"/>
    <col min="8" max="8" width="16.7109375" style="1" customWidth="1"/>
    <col min="9" max="9" width="37.7109375" style="1" customWidth="1"/>
    <col min="10" max="10" width="20.7109375" style="1" hidden="1" customWidth="1"/>
    <col min="11" max="11" width="18" style="1" customWidth="1"/>
    <col min="12" max="12" width="20.28515625" style="1" customWidth="1"/>
    <col min="13" max="13" width="10.5703125" style="1" bestFit="1" customWidth="1"/>
    <col min="14" max="16384" width="9.140625" style="1"/>
  </cols>
  <sheetData>
    <row r="1" spans="2:12" ht="19.5" customHeight="1">
      <c r="D1" s="9"/>
      <c r="E1" s="9"/>
      <c r="F1" s="9"/>
    </row>
    <row r="2" spans="2:12" ht="33" customHeight="1">
      <c r="B2" s="744" t="s">
        <v>172</v>
      </c>
      <c r="C2" s="744"/>
      <c r="D2" s="744"/>
      <c r="E2" s="744"/>
      <c r="F2" s="744"/>
      <c r="G2" s="744"/>
      <c r="H2" s="744"/>
      <c r="I2" s="744"/>
      <c r="J2" s="744"/>
    </row>
    <row r="3" spans="2:12" ht="24.75" customHeight="1">
      <c r="B3" s="858">
        <f>'Consolidated Rabi -2024'!B3:C3</f>
        <v>0</v>
      </c>
      <c r="C3" s="858"/>
      <c r="H3" s="250"/>
      <c r="J3" s="268" t="s">
        <v>136</v>
      </c>
    </row>
    <row r="4" spans="2:12" ht="73.5" customHeight="1">
      <c r="B4" s="292" t="s">
        <v>132</v>
      </c>
      <c r="C4" s="252" t="s">
        <v>0</v>
      </c>
      <c r="D4" s="294" t="s">
        <v>1</v>
      </c>
      <c r="E4" s="252" t="s">
        <v>137</v>
      </c>
      <c r="F4" s="252" t="s">
        <v>131</v>
      </c>
      <c r="G4" s="252" t="s">
        <v>135</v>
      </c>
      <c r="H4" s="252" t="s">
        <v>24</v>
      </c>
      <c r="I4" s="252" t="s">
        <v>88</v>
      </c>
      <c r="J4" s="252" t="s">
        <v>138</v>
      </c>
    </row>
    <row r="5" spans="2:12" ht="20.85" customHeight="1">
      <c r="B5" s="856" t="s">
        <v>174</v>
      </c>
      <c r="C5" s="857"/>
      <c r="D5" s="285"/>
      <c r="E5" s="285"/>
      <c r="F5" s="285"/>
      <c r="G5" s="285"/>
      <c r="H5" s="285"/>
      <c r="I5" s="285"/>
      <c r="J5" s="285"/>
    </row>
    <row r="6" spans="2:12" ht="20.85" customHeight="1">
      <c r="B6" s="855">
        <v>1</v>
      </c>
      <c r="C6" s="854" t="s">
        <v>133</v>
      </c>
      <c r="D6" s="257" t="s">
        <v>33</v>
      </c>
      <c r="E6" s="254">
        <v>3438</v>
      </c>
      <c r="F6" s="254">
        <f>K6</f>
        <v>0</v>
      </c>
      <c r="G6" s="190">
        <v>0</v>
      </c>
      <c r="H6" s="253">
        <v>0</v>
      </c>
      <c r="I6" s="265" t="s">
        <v>21</v>
      </c>
      <c r="J6" s="263">
        <f t="shared" ref="J6:J12" si="0">G6*8558/1000000</f>
        <v>0</v>
      </c>
      <c r="K6" s="11">
        <f t="shared" ref="K6:K12" si="1">G6-L6</f>
        <v>0</v>
      </c>
      <c r="L6" s="190">
        <v>0</v>
      </c>
    </row>
    <row r="7" spans="2:12" ht="20.85" customHeight="1">
      <c r="B7" s="855"/>
      <c r="C7" s="854"/>
      <c r="D7" s="257" t="s">
        <v>90</v>
      </c>
      <c r="E7" s="254">
        <v>9000</v>
      </c>
      <c r="F7" s="254">
        <f t="shared" ref="F7:F12" si="2">K7</f>
        <v>0</v>
      </c>
      <c r="G7" s="190">
        <v>0</v>
      </c>
      <c r="H7" s="253">
        <v>0</v>
      </c>
      <c r="I7" s="264" t="s">
        <v>114</v>
      </c>
      <c r="J7" s="263">
        <f t="shared" si="0"/>
        <v>0</v>
      </c>
      <c r="K7" s="11">
        <f t="shared" si="1"/>
        <v>0</v>
      </c>
      <c r="L7" s="190">
        <v>0</v>
      </c>
    </row>
    <row r="8" spans="2:12" ht="20.85" customHeight="1">
      <c r="B8" s="855"/>
      <c r="C8" s="854"/>
      <c r="D8" s="257" t="s">
        <v>110</v>
      </c>
      <c r="E8" s="254">
        <v>3768</v>
      </c>
      <c r="F8" s="263">
        <f t="shared" si="2"/>
        <v>0</v>
      </c>
      <c r="G8" s="190">
        <v>741</v>
      </c>
      <c r="H8" s="253">
        <v>574</v>
      </c>
      <c r="I8" s="264" t="s">
        <v>112</v>
      </c>
      <c r="J8" s="263">
        <f t="shared" si="0"/>
        <v>6.3414780000000004</v>
      </c>
      <c r="K8" s="11">
        <f t="shared" si="1"/>
        <v>0</v>
      </c>
      <c r="L8" s="190">
        <v>741</v>
      </c>
    </row>
    <row r="9" spans="2:12" ht="20.85" customHeight="1">
      <c r="B9" s="855"/>
      <c r="C9" s="854"/>
      <c r="D9" s="257" t="s">
        <v>119</v>
      </c>
      <c r="E9" s="254">
        <v>3240</v>
      </c>
      <c r="F9" s="254">
        <f>K9</f>
        <v>0</v>
      </c>
      <c r="G9" s="190"/>
      <c r="H9" s="253"/>
      <c r="I9" s="264" t="s">
        <v>124</v>
      </c>
      <c r="J9" s="263">
        <f t="shared" si="0"/>
        <v>0</v>
      </c>
      <c r="K9" s="11">
        <f t="shared" si="1"/>
        <v>0</v>
      </c>
      <c r="L9" s="190"/>
    </row>
    <row r="10" spans="2:12" ht="20.85" customHeight="1">
      <c r="B10" s="855"/>
      <c r="C10" s="854"/>
      <c r="D10" s="257" t="s">
        <v>123</v>
      </c>
      <c r="E10" s="254">
        <v>4530</v>
      </c>
      <c r="F10" s="254">
        <f t="shared" si="2"/>
        <v>0</v>
      </c>
      <c r="G10" s="190"/>
      <c r="H10" s="253"/>
      <c r="I10" s="265" t="s">
        <v>21</v>
      </c>
      <c r="J10" s="263">
        <f t="shared" si="0"/>
        <v>0</v>
      </c>
      <c r="K10" s="11">
        <f t="shared" si="1"/>
        <v>0</v>
      </c>
      <c r="L10" s="190"/>
    </row>
    <row r="11" spans="2:12" ht="20.85" customHeight="1">
      <c r="B11" s="855"/>
      <c r="C11" s="854"/>
      <c r="D11" s="257" t="s">
        <v>126</v>
      </c>
      <c r="E11" s="254">
        <v>293865</v>
      </c>
      <c r="F11" s="263">
        <f>K11</f>
        <v>0</v>
      </c>
      <c r="G11" s="190">
        <v>53045.2</v>
      </c>
      <c r="H11" s="253">
        <v>26174</v>
      </c>
      <c r="I11" s="264" t="s">
        <v>145</v>
      </c>
      <c r="J11" s="263">
        <f t="shared" si="0"/>
        <v>453.96082159999997</v>
      </c>
      <c r="K11" s="11">
        <f t="shared" si="1"/>
        <v>0</v>
      </c>
      <c r="L11" s="190">
        <v>53045.2</v>
      </c>
    </row>
    <row r="12" spans="2:12" ht="20.85" customHeight="1">
      <c r="B12" s="855"/>
      <c r="C12" s="854"/>
      <c r="D12" s="257" t="s">
        <v>128</v>
      </c>
      <c r="E12" s="254">
        <v>14900</v>
      </c>
      <c r="F12" s="254">
        <f t="shared" si="2"/>
        <v>0</v>
      </c>
      <c r="G12" s="190"/>
      <c r="H12" s="253"/>
      <c r="I12" s="265" t="s">
        <v>21</v>
      </c>
      <c r="J12" s="263">
        <f t="shared" si="0"/>
        <v>0</v>
      </c>
      <c r="K12" s="11">
        <f t="shared" si="1"/>
        <v>0</v>
      </c>
      <c r="L12" s="190"/>
    </row>
    <row r="13" spans="2:12" ht="20.85" customHeight="1">
      <c r="B13" s="258"/>
      <c r="C13" s="258"/>
      <c r="D13" s="260" t="s">
        <v>6</v>
      </c>
      <c r="E13" s="261">
        <f>SUM(E6:E12)</f>
        <v>332741</v>
      </c>
      <c r="F13" s="262">
        <f>SUM(F6:F12)</f>
        <v>0</v>
      </c>
      <c r="G13" s="262">
        <f>SUM(G6:G12)</f>
        <v>53786.2</v>
      </c>
      <c r="H13" s="261">
        <f>SUM(H6:H12)</f>
        <v>26748</v>
      </c>
      <c r="I13" s="264"/>
      <c r="J13" s="259">
        <f>SUM(J6:J12)</f>
        <v>460.30229959999997</v>
      </c>
    </row>
    <row r="14" spans="2:12" ht="20.85" customHeight="1">
      <c r="B14" s="734">
        <v>2</v>
      </c>
      <c r="C14" s="741" t="s">
        <v>134</v>
      </c>
      <c r="D14" s="257" t="s">
        <v>33</v>
      </c>
      <c r="E14" s="254">
        <v>7425</v>
      </c>
      <c r="F14" s="254">
        <f>K14</f>
        <v>0</v>
      </c>
      <c r="G14" s="190">
        <v>0</v>
      </c>
      <c r="H14" s="253">
        <v>0</v>
      </c>
      <c r="I14" s="265" t="s">
        <v>21</v>
      </c>
      <c r="J14" s="263">
        <f>G14*6950/1000000</f>
        <v>0</v>
      </c>
      <c r="K14" s="11">
        <f>G14-L14</f>
        <v>0</v>
      </c>
    </row>
    <row r="15" spans="2:12" ht="20.85" customHeight="1">
      <c r="B15" s="853"/>
      <c r="C15" s="725"/>
      <c r="D15" s="257" t="s">
        <v>90</v>
      </c>
      <c r="E15" s="254">
        <v>53000</v>
      </c>
      <c r="F15" s="254">
        <f>K15</f>
        <v>0</v>
      </c>
      <c r="G15" s="190"/>
      <c r="H15" s="253"/>
      <c r="I15" s="264" t="s">
        <v>114</v>
      </c>
      <c r="J15" s="263">
        <f>G15*6950/1000000</f>
        <v>0</v>
      </c>
      <c r="K15" s="11">
        <f>G15-L15</f>
        <v>0</v>
      </c>
    </row>
    <row r="16" spans="2:12" ht="20.85" customHeight="1">
      <c r="B16" s="853"/>
      <c r="C16" s="725"/>
      <c r="D16" s="257" t="s">
        <v>119</v>
      </c>
      <c r="E16" s="254">
        <v>296400</v>
      </c>
      <c r="F16" s="254">
        <f>K16</f>
        <v>0</v>
      </c>
      <c r="G16" s="190"/>
      <c r="H16" s="253"/>
      <c r="I16" s="264" t="s">
        <v>124</v>
      </c>
      <c r="J16" s="263">
        <f>G16*6950/1000000</f>
        <v>0</v>
      </c>
      <c r="K16" s="11">
        <f>G16-L16</f>
        <v>0</v>
      </c>
    </row>
    <row r="17" spans="2:12" ht="20.85" customHeight="1">
      <c r="B17" s="853"/>
      <c r="C17" s="725"/>
      <c r="D17" s="257" t="s">
        <v>123</v>
      </c>
      <c r="E17" s="254">
        <v>5664</v>
      </c>
      <c r="F17" s="254">
        <f>K17</f>
        <v>0</v>
      </c>
      <c r="G17" s="190"/>
      <c r="H17" s="253"/>
      <c r="I17" s="265" t="s">
        <v>21</v>
      </c>
      <c r="J17" s="263">
        <f>G17*6950/1000000</f>
        <v>0</v>
      </c>
      <c r="K17" s="11">
        <f>G17-L17</f>
        <v>0</v>
      </c>
    </row>
    <row r="18" spans="2:12" ht="20.85" customHeight="1">
      <c r="B18" s="853"/>
      <c r="C18" s="725"/>
      <c r="D18" s="257" t="s">
        <v>126</v>
      </c>
      <c r="E18" s="254">
        <v>135200</v>
      </c>
      <c r="F18" s="254">
        <f>K18</f>
        <v>0</v>
      </c>
      <c r="G18" s="190"/>
      <c r="H18" s="253"/>
      <c r="I18" s="264" t="s">
        <v>145</v>
      </c>
      <c r="J18" s="263">
        <f>G18*6950/1000000</f>
        <v>0</v>
      </c>
      <c r="K18" s="11">
        <f>G18-L18</f>
        <v>0</v>
      </c>
    </row>
    <row r="19" spans="2:12" ht="20.85" customHeight="1">
      <c r="B19" s="853"/>
      <c r="C19" s="725"/>
      <c r="D19" s="257" t="s">
        <v>128</v>
      </c>
      <c r="E19" s="254">
        <v>22000</v>
      </c>
      <c r="F19" s="254"/>
      <c r="G19" s="190"/>
      <c r="H19" s="253"/>
      <c r="I19" s="265" t="s">
        <v>21</v>
      </c>
      <c r="J19" s="263"/>
      <c r="K19" s="11"/>
    </row>
    <row r="20" spans="2:12" ht="20.85" customHeight="1">
      <c r="B20" s="735"/>
      <c r="C20" s="753"/>
      <c r="D20" s="257" t="s">
        <v>110</v>
      </c>
      <c r="E20" s="254">
        <v>90</v>
      </c>
      <c r="F20" s="254"/>
      <c r="G20" s="190"/>
      <c r="H20" s="253"/>
      <c r="I20" s="265" t="s">
        <v>21</v>
      </c>
      <c r="J20" s="263"/>
      <c r="K20" s="11"/>
    </row>
    <row r="21" spans="2:12" ht="20.85" customHeight="1">
      <c r="B21" s="258"/>
      <c r="C21" s="258"/>
      <c r="D21" s="260" t="s">
        <v>6</v>
      </c>
      <c r="E21" s="261">
        <f>SUM(E14:E20)</f>
        <v>519779</v>
      </c>
      <c r="F21" s="261">
        <f>SUM(F14:F18)</f>
        <v>0</v>
      </c>
      <c r="G21" s="261">
        <f>SUM(G14:G18)</f>
        <v>0</v>
      </c>
      <c r="H21" s="261">
        <f>SUM(H14:H18)</f>
        <v>0</v>
      </c>
      <c r="I21" s="264"/>
      <c r="J21" s="259">
        <f>SUM(J14:J18)</f>
        <v>0</v>
      </c>
    </row>
    <row r="22" spans="2:12" ht="20.85" customHeight="1">
      <c r="B22" s="734">
        <v>3</v>
      </c>
      <c r="C22" s="741" t="s">
        <v>146</v>
      </c>
      <c r="D22" s="257" t="s">
        <v>123</v>
      </c>
      <c r="E22" s="254">
        <v>153090</v>
      </c>
      <c r="F22" s="263">
        <f>K22</f>
        <v>0</v>
      </c>
      <c r="G22" s="190">
        <v>0</v>
      </c>
      <c r="H22" s="253">
        <v>0</v>
      </c>
      <c r="I22" s="265" t="s">
        <v>21</v>
      </c>
      <c r="J22" s="263">
        <f>G22*7000/1000000</f>
        <v>0</v>
      </c>
    </row>
    <row r="23" spans="2:12" ht="20.85" customHeight="1">
      <c r="B23" s="853"/>
      <c r="C23" s="725"/>
      <c r="D23" s="257" t="s">
        <v>90</v>
      </c>
      <c r="E23" s="254">
        <v>245710</v>
      </c>
      <c r="F23" s="263"/>
      <c r="G23" s="190"/>
      <c r="H23" s="253"/>
      <c r="I23" s="265" t="s">
        <v>166</v>
      </c>
      <c r="J23" s="263"/>
    </row>
    <row r="24" spans="2:12" ht="20.85" customHeight="1">
      <c r="B24" s="853"/>
      <c r="C24" s="725"/>
      <c r="D24" s="257" t="s">
        <v>110</v>
      </c>
      <c r="E24" s="254">
        <v>2760</v>
      </c>
      <c r="F24" s="263"/>
      <c r="G24" s="190"/>
      <c r="H24" s="253"/>
      <c r="I24" s="265" t="s">
        <v>21</v>
      </c>
      <c r="J24" s="263"/>
    </row>
    <row r="25" spans="2:12" ht="20.85" customHeight="1">
      <c r="B25" s="735"/>
      <c r="C25" s="753"/>
      <c r="D25" s="257" t="s">
        <v>128</v>
      </c>
      <c r="E25" s="254">
        <v>876090</v>
      </c>
      <c r="F25" s="263"/>
      <c r="G25" s="190"/>
      <c r="H25" s="253"/>
      <c r="I25" s="265" t="s">
        <v>21</v>
      </c>
      <c r="J25" s="263"/>
    </row>
    <row r="26" spans="2:12" ht="20.85" customHeight="1">
      <c r="B26" s="258"/>
      <c r="C26" s="258"/>
      <c r="D26" s="260" t="s">
        <v>6</v>
      </c>
      <c r="E26" s="261">
        <f>SUM(E22:E25)</f>
        <v>1277650</v>
      </c>
      <c r="F26" s="262">
        <f>SUM(F22)</f>
        <v>0</v>
      </c>
      <c r="G26" s="262">
        <f>SUM(G22)</f>
        <v>0</v>
      </c>
      <c r="H26" s="261">
        <f>SUM(H22)</f>
        <v>0</v>
      </c>
      <c r="I26" s="264"/>
      <c r="J26" s="259">
        <f>SUM(J22)</f>
        <v>0</v>
      </c>
    </row>
    <row r="27" spans="2:12" ht="20.85" customHeight="1">
      <c r="B27" s="734">
        <v>4</v>
      </c>
      <c r="C27" s="854" t="s">
        <v>139</v>
      </c>
      <c r="D27" s="257" t="s">
        <v>90</v>
      </c>
      <c r="E27" s="254">
        <v>998000</v>
      </c>
      <c r="F27" s="263">
        <f>K27</f>
        <v>0</v>
      </c>
      <c r="G27" s="190">
        <v>1224.3129000000001</v>
      </c>
      <c r="H27" s="253">
        <v>539</v>
      </c>
      <c r="I27" s="264" t="s">
        <v>114</v>
      </c>
      <c r="J27" s="263">
        <f>G27*6377/1000000</f>
        <v>7.8074433633000009</v>
      </c>
      <c r="K27" s="11">
        <f>G27-L27</f>
        <v>0</v>
      </c>
      <c r="L27" s="190">
        <v>1224.3128999999999</v>
      </c>
    </row>
    <row r="28" spans="2:12" ht="20.85" customHeight="1">
      <c r="B28" s="853"/>
      <c r="C28" s="854"/>
      <c r="D28" s="257" t="s">
        <v>110</v>
      </c>
      <c r="E28" s="254">
        <v>1580</v>
      </c>
      <c r="F28" s="263">
        <f>K28</f>
        <v>0</v>
      </c>
      <c r="G28" s="190"/>
      <c r="H28" s="253"/>
      <c r="I28" s="264" t="s">
        <v>113</v>
      </c>
      <c r="J28" s="263">
        <f>G28*6377/1000000</f>
        <v>0</v>
      </c>
      <c r="K28" s="11">
        <f>G28-L28</f>
        <v>0</v>
      </c>
      <c r="L28" s="190"/>
    </row>
    <row r="29" spans="2:12" ht="20.85" customHeight="1">
      <c r="B29" s="853"/>
      <c r="C29" s="854"/>
      <c r="D29" s="257" t="s">
        <v>119</v>
      </c>
      <c r="E29" s="254">
        <v>27148</v>
      </c>
      <c r="F29" s="263">
        <f>K29</f>
        <v>0</v>
      </c>
      <c r="G29" s="190">
        <v>27147.464</v>
      </c>
      <c r="H29" s="253">
        <v>6837</v>
      </c>
      <c r="I29" s="264" t="s">
        <v>144</v>
      </c>
      <c r="J29" s="263">
        <f>G29*6377/1000000</f>
        <v>173.11937792800001</v>
      </c>
      <c r="K29" s="11">
        <f>G29-L29</f>
        <v>0</v>
      </c>
      <c r="L29" s="190">
        <v>27147.464</v>
      </c>
    </row>
    <row r="30" spans="2:12" ht="20.85" customHeight="1">
      <c r="B30" s="735"/>
      <c r="C30" s="854"/>
      <c r="D30" s="257" t="s">
        <v>126</v>
      </c>
      <c r="E30" s="254">
        <v>480803</v>
      </c>
      <c r="F30" s="263">
        <f>K30</f>
        <v>0</v>
      </c>
      <c r="G30" s="190">
        <v>46452.83</v>
      </c>
      <c r="H30" s="253">
        <v>19272</v>
      </c>
      <c r="I30" s="264" t="s">
        <v>158</v>
      </c>
      <c r="J30" s="263">
        <f>G30*6377/1000000</f>
        <v>296.22969691000003</v>
      </c>
      <c r="K30" s="11">
        <f>G30-L30</f>
        <v>0</v>
      </c>
      <c r="L30" s="190">
        <v>46452.83</v>
      </c>
    </row>
    <row r="31" spans="2:12" ht="20.85" customHeight="1">
      <c r="B31" s="258"/>
      <c r="C31" s="258"/>
      <c r="D31" s="260" t="s">
        <v>6</v>
      </c>
      <c r="E31" s="261">
        <f>SUM(E27:E30)</f>
        <v>1507531</v>
      </c>
      <c r="F31" s="262">
        <f>SUM(F27:F30)</f>
        <v>0</v>
      </c>
      <c r="G31" s="262">
        <f>SUM(G27:G30)</f>
        <v>74824.606899999999</v>
      </c>
      <c r="H31" s="261">
        <f>SUM(H27:H30)</f>
        <v>26648</v>
      </c>
      <c r="I31" s="264"/>
      <c r="J31" s="259">
        <f>SUM(J27:J30)</f>
        <v>477.15651820130006</v>
      </c>
    </row>
    <row r="32" spans="2:12" ht="20.85" customHeight="1">
      <c r="B32" s="734">
        <v>5</v>
      </c>
      <c r="C32" s="854" t="s">
        <v>140</v>
      </c>
      <c r="D32" s="257" t="s">
        <v>90</v>
      </c>
      <c r="E32" s="254">
        <v>91343</v>
      </c>
      <c r="F32" s="263">
        <f>K32</f>
        <v>0</v>
      </c>
      <c r="G32" s="190">
        <v>111.5</v>
      </c>
      <c r="H32" s="253">
        <v>75</v>
      </c>
      <c r="I32" s="264" t="s">
        <v>114</v>
      </c>
      <c r="J32" s="263">
        <f>G32*4600/1000000</f>
        <v>0.51290000000000002</v>
      </c>
      <c r="K32" s="11">
        <f>G32-L32</f>
        <v>0</v>
      </c>
      <c r="L32" s="190">
        <v>111.5</v>
      </c>
    </row>
    <row r="33" spans="2:12" ht="20.85" customHeight="1">
      <c r="B33" s="853"/>
      <c r="C33" s="854"/>
      <c r="D33" s="257" t="s">
        <v>123</v>
      </c>
      <c r="E33" s="254">
        <v>81760</v>
      </c>
      <c r="F33" s="263">
        <f>K33</f>
        <v>0</v>
      </c>
      <c r="G33" s="190">
        <v>6082.25</v>
      </c>
      <c r="H33" s="253">
        <v>3434</v>
      </c>
      <c r="I33" s="264" t="s">
        <v>163</v>
      </c>
      <c r="J33" s="263">
        <f>G33*4600/1000000</f>
        <v>27.978349999999999</v>
      </c>
      <c r="K33" s="11">
        <f>G33-L33</f>
        <v>0</v>
      </c>
      <c r="L33" s="190">
        <v>6082.25</v>
      </c>
    </row>
    <row r="34" spans="2:12" ht="20.85" customHeight="1">
      <c r="B34" s="853"/>
      <c r="C34" s="854"/>
      <c r="D34" s="257" t="s">
        <v>126</v>
      </c>
      <c r="E34" s="253">
        <v>301650</v>
      </c>
      <c r="F34" s="263">
        <f>K34</f>
        <v>0</v>
      </c>
      <c r="G34" s="254"/>
      <c r="H34" s="190"/>
      <c r="I34" s="264" t="s">
        <v>145</v>
      </c>
      <c r="J34" s="254">
        <f>G34*4600/1000000</f>
        <v>0</v>
      </c>
      <c r="K34" s="11">
        <f>G34-L34</f>
        <v>0</v>
      </c>
      <c r="L34" s="254"/>
    </row>
    <row r="35" spans="2:12" ht="20.85" customHeight="1">
      <c r="B35" s="735"/>
      <c r="C35" s="854"/>
      <c r="D35" s="257" t="s">
        <v>128</v>
      </c>
      <c r="E35" s="253">
        <v>1143000</v>
      </c>
      <c r="F35" s="263">
        <f>K35</f>
        <v>0</v>
      </c>
      <c r="G35" s="263">
        <v>728.15599999999995</v>
      </c>
      <c r="H35" s="253">
        <v>534</v>
      </c>
      <c r="I35" s="264" t="s">
        <v>180</v>
      </c>
      <c r="J35" s="263">
        <f>G35*4600/1000000</f>
        <v>3.3495175999999995</v>
      </c>
      <c r="K35" s="11">
        <f>G35-L35</f>
        <v>0</v>
      </c>
      <c r="L35" s="263">
        <v>728.15599999999995</v>
      </c>
    </row>
    <row r="36" spans="2:12" ht="20.85" customHeight="1">
      <c r="B36" s="258"/>
      <c r="C36" s="258"/>
      <c r="D36" s="260" t="s">
        <v>6</v>
      </c>
      <c r="E36" s="261">
        <f>SUM(E32:E35)</f>
        <v>1617753</v>
      </c>
      <c r="F36" s="262">
        <f>SUM(F32:F35)</f>
        <v>0</v>
      </c>
      <c r="G36" s="262">
        <f>SUM(G32:G35)</f>
        <v>6921.9059999999999</v>
      </c>
      <c r="H36" s="261">
        <f>SUM(H32:H35)</f>
        <v>4043</v>
      </c>
      <c r="I36" s="264"/>
      <c r="J36" s="259">
        <f>SUM(J32:J35)</f>
        <v>31.840767599999996</v>
      </c>
      <c r="L36" s="11">
        <f>SUM(L32:L35)</f>
        <v>6921.9059999999999</v>
      </c>
    </row>
    <row r="37" spans="2:12" ht="20.85" customHeight="1">
      <c r="B37" s="734">
        <v>6</v>
      </c>
      <c r="C37" s="741" t="s">
        <v>141</v>
      </c>
      <c r="D37" s="257" t="s">
        <v>119</v>
      </c>
      <c r="E37" s="254">
        <v>15538</v>
      </c>
      <c r="F37" s="263">
        <f>K37</f>
        <v>0</v>
      </c>
      <c r="G37" s="190"/>
      <c r="H37" s="253"/>
      <c r="I37" s="264" t="s">
        <v>124</v>
      </c>
      <c r="J37" s="254">
        <f>G37*8635/1000000</f>
        <v>0</v>
      </c>
      <c r="K37" s="11">
        <f>G37-L37</f>
        <v>0</v>
      </c>
    </row>
    <row r="38" spans="2:12" ht="20.85" customHeight="1">
      <c r="B38" s="735"/>
      <c r="C38" s="753"/>
      <c r="D38" s="257" t="s">
        <v>110</v>
      </c>
      <c r="E38" s="254">
        <v>25</v>
      </c>
      <c r="F38" s="263"/>
      <c r="G38" s="190"/>
      <c r="H38" s="253"/>
      <c r="I38" s="265" t="s">
        <v>21</v>
      </c>
      <c r="J38" s="254"/>
      <c r="K38" s="11"/>
    </row>
    <row r="39" spans="2:12" ht="20.85" customHeight="1">
      <c r="B39" s="258"/>
      <c r="C39" s="258"/>
      <c r="D39" s="260" t="s">
        <v>6</v>
      </c>
      <c r="E39" s="261">
        <f>SUM(E37:E38)</f>
        <v>15563</v>
      </c>
      <c r="F39" s="262">
        <f>SUM(F37)</f>
        <v>0</v>
      </c>
      <c r="G39" s="261">
        <f>SUM(G37)</f>
        <v>0</v>
      </c>
      <c r="H39" s="261">
        <f>SUM(H37)</f>
        <v>0</v>
      </c>
      <c r="I39" s="264"/>
      <c r="J39" s="255">
        <f>SUM(J37)</f>
        <v>0</v>
      </c>
    </row>
    <row r="40" spans="2:12" ht="26.25" customHeight="1">
      <c r="B40" s="734">
        <v>7</v>
      </c>
      <c r="C40" s="741" t="s">
        <v>142</v>
      </c>
      <c r="D40" s="257" t="s">
        <v>86</v>
      </c>
      <c r="E40" s="254">
        <v>26250</v>
      </c>
      <c r="F40" s="263">
        <f>K40</f>
        <v>0</v>
      </c>
      <c r="G40" s="190">
        <v>4749.24</v>
      </c>
      <c r="H40" s="253">
        <v>4696</v>
      </c>
      <c r="I40" s="264" t="s">
        <v>150</v>
      </c>
      <c r="J40" s="263">
        <f>G40*6760/1000000</f>
        <v>32.104862400000002</v>
      </c>
      <c r="K40" s="11">
        <f>G40-L40</f>
        <v>0</v>
      </c>
      <c r="L40" s="190">
        <v>4749.24</v>
      </c>
    </row>
    <row r="41" spans="2:12" ht="24.75" customHeight="1">
      <c r="B41" s="735"/>
      <c r="C41" s="753"/>
      <c r="D41" s="260" t="s">
        <v>6</v>
      </c>
      <c r="E41" s="261">
        <f>SUM(E40)</f>
        <v>26250</v>
      </c>
      <c r="F41" s="262">
        <f>SUM(F40)</f>
        <v>0</v>
      </c>
      <c r="G41" s="262">
        <f>SUM(G40)</f>
        <v>4749.24</v>
      </c>
      <c r="H41" s="261">
        <f>SUM(H40)</f>
        <v>4696</v>
      </c>
      <c r="I41" s="264"/>
      <c r="J41" s="259">
        <f>SUM(J40)</f>
        <v>32.104862400000002</v>
      </c>
    </row>
    <row r="42" spans="2:12" ht="20.85" customHeight="1">
      <c r="B42" s="297"/>
      <c r="C42" s="296"/>
      <c r="D42" s="256"/>
      <c r="E42" s="255"/>
      <c r="F42" s="259"/>
      <c r="G42" s="259"/>
      <c r="H42" s="255"/>
      <c r="I42" s="264"/>
      <c r="J42" s="259"/>
    </row>
    <row r="43" spans="2:12" ht="20.85" customHeight="1">
      <c r="B43" s="272"/>
      <c r="C43" s="272"/>
      <c r="D43" s="273" t="s">
        <v>5</v>
      </c>
      <c r="E43" s="274">
        <f>E41+E39+E36+E31+E21+E13+E26</f>
        <v>5297267</v>
      </c>
      <c r="F43" s="275">
        <f>F41+F39+F36+F31+F21+F13</f>
        <v>0</v>
      </c>
      <c r="G43" s="275">
        <f>G41+G39+G36+G31+G21+G13</f>
        <v>140281.95289999997</v>
      </c>
      <c r="H43" s="274">
        <f>H41+H39+H36+H31+H21+H13</f>
        <v>62135</v>
      </c>
      <c r="I43" s="272"/>
      <c r="J43" s="275">
        <f>J41+J39+J36+J31+J21+J13</f>
        <v>1001.4044478013</v>
      </c>
    </row>
    <row r="44" spans="2:12" ht="20.85" hidden="1" customHeight="1"/>
    <row r="45" spans="2:12" ht="20.85" hidden="1" customHeight="1"/>
    <row r="46" spans="2:12" ht="20.85" hidden="1" customHeight="1"/>
    <row r="47" spans="2:12" ht="20.85" hidden="1" customHeight="1"/>
    <row r="48" spans="2:12" ht="20.85" hidden="1" customHeight="1"/>
    <row r="49" spans="3:8" ht="20.85" customHeight="1"/>
    <row r="50" spans="3:8" ht="12.75" customHeight="1">
      <c r="D50" s="22"/>
      <c r="E50" s="26"/>
      <c r="F50" s="26"/>
      <c r="G50" s="27"/>
      <c r="H50" s="26"/>
    </row>
    <row r="51" spans="3:8" ht="29.25" customHeight="1">
      <c r="C51" s="269" t="s">
        <v>111</v>
      </c>
      <c r="D51" s="269" t="s">
        <v>106</v>
      </c>
      <c r="E51" s="293" t="s">
        <v>135</v>
      </c>
      <c r="F51" s="293" t="s">
        <v>107</v>
      </c>
      <c r="G51" s="293" t="s">
        <v>138</v>
      </c>
      <c r="H51" s="10"/>
    </row>
    <row r="52" spans="3:8" ht="15.75" customHeight="1" thickBot="1">
      <c r="C52" s="291" t="s">
        <v>155</v>
      </c>
      <c r="D52" s="269"/>
      <c r="E52" s="293"/>
      <c r="F52" s="293"/>
      <c r="G52" s="293"/>
      <c r="H52" s="10"/>
    </row>
    <row r="53" spans="3:8" ht="24.75" customHeight="1">
      <c r="C53" s="266" t="s">
        <v>157</v>
      </c>
      <c r="D53" s="32">
        <f>E13+E21+E26</f>
        <v>2130170</v>
      </c>
      <c r="E53" s="270">
        <f>G13+G21+G26</f>
        <v>53786.2</v>
      </c>
      <c r="F53" s="271">
        <f>H13+H21+H26</f>
        <v>26748</v>
      </c>
      <c r="G53" s="270">
        <f>J13+J21+J26</f>
        <v>460.30229959999997</v>
      </c>
    </row>
    <row r="54" spans="3:8" ht="24.75" customHeight="1">
      <c r="C54" s="267" t="s">
        <v>143</v>
      </c>
      <c r="D54" s="239">
        <f>E41+E36+E31+E39</f>
        <v>3167097</v>
      </c>
      <c r="E54" s="238">
        <f>G41+G36+G31+G39</f>
        <v>86495.752899999992</v>
      </c>
      <c r="F54" s="239">
        <f>H41+H36+H31+H39</f>
        <v>35387</v>
      </c>
      <c r="G54" s="238">
        <f>J41+J36+J31+J39</f>
        <v>541.1021482013</v>
      </c>
    </row>
    <row r="55" spans="3:8" ht="24.75" customHeight="1" thickBot="1">
      <c r="C55" s="281" t="s">
        <v>38</v>
      </c>
      <c r="D55" s="244">
        <f>SUM(D53:D54)</f>
        <v>5297267</v>
      </c>
      <c r="E55" s="191">
        <f>SUM(E53:E54)</f>
        <v>140281.95289999997</v>
      </c>
      <c r="F55" s="244">
        <f>SUM(F53:F54)</f>
        <v>62135</v>
      </c>
      <c r="G55" s="191">
        <f>SUM(G53:G54)</f>
        <v>1001.4044478013</v>
      </c>
    </row>
    <row r="56" spans="3:8" ht="24.75" customHeight="1"/>
    <row r="57" spans="3:8" ht="24.75" customHeight="1"/>
    <row r="58" spans="3:8" ht="17.25" customHeight="1">
      <c r="C58" s="287"/>
      <c r="D58" s="288"/>
      <c r="E58" s="289"/>
      <c r="F58" s="288"/>
      <c r="G58" s="289"/>
    </row>
  </sheetData>
  <mergeCells count="17">
    <mergeCell ref="C37:C38"/>
    <mergeCell ref="C40:C41"/>
    <mergeCell ref="B40:B41"/>
    <mergeCell ref="C14:C20"/>
    <mergeCell ref="B14:B20"/>
    <mergeCell ref="B37:B38"/>
    <mergeCell ref="C32:C35"/>
    <mergeCell ref="B32:B35"/>
    <mergeCell ref="C22:C25"/>
    <mergeCell ref="B22:B25"/>
    <mergeCell ref="B2:J2"/>
    <mergeCell ref="B27:B30"/>
    <mergeCell ref="C6:C12"/>
    <mergeCell ref="C27:C30"/>
    <mergeCell ref="B6:B12"/>
    <mergeCell ref="B5:C5"/>
    <mergeCell ref="B3:C3"/>
  </mergeCells>
  <pageMargins left="0.23622047244094491" right="0.23622047244094491" top="0.23622047244094491" bottom="0.23622047244094491" header="0.15748031496062992" footer="0.15748031496062992"/>
  <pageSetup paperSize="9" scale="62" orientation="portrait" r:id="rId1"/>
</worksheet>
</file>

<file path=xl/worksheets/sheet14.xml><?xml version="1.0" encoding="utf-8"?>
<worksheet xmlns="http://schemas.openxmlformats.org/spreadsheetml/2006/main" xmlns:r="http://schemas.openxmlformats.org/officeDocument/2006/relationships">
  <dimension ref="C2:H29"/>
  <sheetViews>
    <sheetView workbookViewId="0">
      <selection activeCell="J5" sqref="J5"/>
    </sheetView>
  </sheetViews>
  <sheetFormatPr defaultRowHeight="15"/>
  <cols>
    <col min="3" max="3" width="16.85546875" customWidth="1"/>
    <col min="4" max="4" width="21" customWidth="1"/>
    <col min="5" max="5" width="21.85546875" customWidth="1"/>
    <col min="6" max="6" width="22.140625" customWidth="1"/>
  </cols>
  <sheetData>
    <row r="2" spans="3:8" ht="21">
      <c r="C2" s="863" t="s">
        <v>319</v>
      </c>
      <c r="D2" s="863"/>
      <c r="E2" s="863"/>
      <c r="F2" s="863"/>
      <c r="G2" s="621"/>
      <c r="H2" s="621"/>
    </row>
    <row r="3" spans="3:8" ht="21">
      <c r="C3" s="622"/>
      <c r="D3" s="622"/>
      <c r="E3" s="864" t="s">
        <v>318</v>
      </c>
      <c r="F3" s="864"/>
      <c r="G3" s="621"/>
      <c r="H3" s="621"/>
    </row>
    <row r="4" spans="3:8" s="623" customFormat="1" ht="22.5" customHeight="1">
      <c r="C4" s="862" t="s">
        <v>320</v>
      </c>
      <c r="D4" s="862" t="s">
        <v>279</v>
      </c>
      <c r="E4" s="862" t="s">
        <v>292</v>
      </c>
      <c r="F4" s="862"/>
    </row>
    <row r="5" spans="3:8" s="623" customFormat="1" ht="22.5" customHeight="1">
      <c r="C5" s="862"/>
      <c r="D5" s="862"/>
      <c r="E5" s="862" t="s">
        <v>321</v>
      </c>
      <c r="F5" s="862"/>
    </row>
    <row r="6" spans="3:8" s="623" customFormat="1" ht="22.5" customHeight="1">
      <c r="C6" s="862"/>
      <c r="D6" s="862"/>
      <c r="E6" s="624" t="s">
        <v>56</v>
      </c>
      <c r="F6" s="624" t="s">
        <v>326</v>
      </c>
    </row>
    <row r="7" spans="3:8" s="623" customFormat="1" ht="22.5" customHeight="1">
      <c r="C7" s="862" t="s">
        <v>324</v>
      </c>
      <c r="D7" s="625" t="s">
        <v>101</v>
      </c>
      <c r="E7" s="626">
        <v>5637.45</v>
      </c>
      <c r="F7" s="626">
        <v>0</v>
      </c>
    </row>
    <row r="8" spans="3:8" s="623" customFormat="1" ht="22.5" customHeight="1">
      <c r="C8" s="862"/>
      <c r="D8" s="625" t="s">
        <v>307</v>
      </c>
      <c r="E8" s="626">
        <v>0</v>
      </c>
      <c r="F8" s="626">
        <v>0</v>
      </c>
    </row>
    <row r="9" spans="3:8" s="623" customFormat="1" ht="22.5" customHeight="1">
      <c r="C9" s="862"/>
      <c r="D9" s="625" t="s">
        <v>90</v>
      </c>
      <c r="E9" s="626">
        <v>0</v>
      </c>
      <c r="F9" s="626">
        <v>0</v>
      </c>
    </row>
    <row r="10" spans="3:8" s="623" customFormat="1" ht="22.5" customHeight="1">
      <c r="C10" s="862"/>
      <c r="D10" s="625" t="s">
        <v>110</v>
      </c>
      <c r="E10" s="626">
        <v>0</v>
      </c>
      <c r="F10" s="626">
        <v>0</v>
      </c>
    </row>
    <row r="11" spans="3:8" s="623" customFormat="1" ht="22.5" customHeight="1">
      <c r="C11" s="862"/>
      <c r="D11" s="625" t="s">
        <v>322</v>
      </c>
      <c r="E11" s="626">
        <v>0</v>
      </c>
      <c r="F11" s="626">
        <v>0</v>
      </c>
    </row>
    <row r="12" spans="3:8" s="623" customFormat="1" ht="22.5" customHeight="1">
      <c r="C12" s="862"/>
      <c r="D12" s="625" t="s">
        <v>323</v>
      </c>
      <c r="E12" s="626">
        <v>193.35</v>
      </c>
      <c r="F12" s="626">
        <v>0</v>
      </c>
    </row>
    <row r="13" spans="3:8" s="623" customFormat="1" ht="22.5" customHeight="1">
      <c r="C13" s="862"/>
      <c r="D13" s="625" t="s">
        <v>151</v>
      </c>
      <c r="E13" s="626">
        <v>0</v>
      </c>
      <c r="F13" s="626">
        <v>0</v>
      </c>
    </row>
    <row r="14" spans="3:8" s="623" customFormat="1" ht="22.5" customHeight="1">
      <c r="C14" s="862"/>
      <c r="D14" s="625" t="s">
        <v>127</v>
      </c>
      <c r="E14" s="626">
        <v>0</v>
      </c>
      <c r="F14" s="626">
        <v>0</v>
      </c>
    </row>
    <row r="15" spans="3:8" s="623" customFormat="1" ht="22.5" customHeight="1">
      <c r="C15" s="862"/>
      <c r="D15" s="625" t="s">
        <v>123</v>
      </c>
      <c r="E15" s="626">
        <v>370</v>
      </c>
      <c r="F15" s="626">
        <v>0</v>
      </c>
    </row>
    <row r="16" spans="3:8" s="623" customFormat="1" ht="22.5" customHeight="1">
      <c r="C16" s="862"/>
      <c r="D16" s="625" t="s">
        <v>119</v>
      </c>
      <c r="E16" s="626">
        <v>0</v>
      </c>
      <c r="F16" s="626">
        <v>0</v>
      </c>
    </row>
    <row r="17" spans="3:6" s="623" customFormat="1" ht="22.5" customHeight="1">
      <c r="C17" s="862"/>
      <c r="D17" s="625" t="s">
        <v>6</v>
      </c>
      <c r="E17" s="626">
        <f>SUM(E7:E16)</f>
        <v>6200.8</v>
      </c>
      <c r="F17" s="626">
        <f>SUM(F7:F16)</f>
        <v>0</v>
      </c>
    </row>
    <row r="18" spans="3:6" s="623" customFormat="1" ht="22.5" customHeight="1">
      <c r="C18" s="859" t="s">
        <v>325</v>
      </c>
      <c r="D18" s="625" t="s">
        <v>101</v>
      </c>
      <c r="E18" s="626">
        <v>0</v>
      </c>
      <c r="F18" s="626">
        <v>0</v>
      </c>
    </row>
    <row r="19" spans="3:6" s="623" customFormat="1" ht="22.5" customHeight="1">
      <c r="C19" s="860"/>
      <c r="D19" s="625" t="s">
        <v>307</v>
      </c>
      <c r="E19" s="626">
        <v>0</v>
      </c>
      <c r="F19" s="626">
        <v>0</v>
      </c>
    </row>
    <row r="20" spans="3:6" s="623" customFormat="1" ht="22.5" customHeight="1">
      <c r="C20" s="860"/>
      <c r="D20" s="625" t="s">
        <v>90</v>
      </c>
      <c r="E20" s="626">
        <v>0</v>
      </c>
      <c r="F20" s="626">
        <v>0</v>
      </c>
    </row>
    <row r="21" spans="3:6" s="623" customFormat="1" ht="22.5" customHeight="1">
      <c r="C21" s="860"/>
      <c r="D21" s="625" t="s">
        <v>110</v>
      </c>
      <c r="E21" s="626">
        <v>0</v>
      </c>
      <c r="F21" s="626">
        <v>0</v>
      </c>
    </row>
    <row r="22" spans="3:6" s="623" customFormat="1" ht="22.5" customHeight="1">
      <c r="C22" s="860"/>
      <c r="D22" s="625" t="s">
        <v>322</v>
      </c>
      <c r="E22" s="626">
        <v>0</v>
      </c>
      <c r="F22" s="626">
        <v>0</v>
      </c>
    </row>
    <row r="23" spans="3:6" s="623" customFormat="1" ht="22.5" customHeight="1">
      <c r="C23" s="860"/>
      <c r="D23" s="625" t="s">
        <v>323</v>
      </c>
      <c r="E23" s="626">
        <v>0</v>
      </c>
      <c r="F23" s="626">
        <v>0</v>
      </c>
    </row>
    <row r="24" spans="3:6" s="623" customFormat="1" ht="22.5" customHeight="1">
      <c r="C24" s="860"/>
      <c r="D24" s="625" t="s">
        <v>151</v>
      </c>
      <c r="E24" s="626">
        <v>0</v>
      </c>
      <c r="F24" s="626">
        <v>0</v>
      </c>
    </row>
    <row r="25" spans="3:6" s="623" customFormat="1" ht="22.5" customHeight="1">
      <c r="C25" s="860"/>
      <c r="D25" s="625" t="s">
        <v>127</v>
      </c>
      <c r="E25" s="626">
        <v>0</v>
      </c>
      <c r="F25" s="626">
        <v>0</v>
      </c>
    </row>
    <row r="26" spans="3:6" s="623" customFormat="1" ht="22.5" customHeight="1">
      <c r="C26" s="860"/>
      <c r="D26" s="625" t="s">
        <v>123</v>
      </c>
      <c r="E26" s="626">
        <v>0</v>
      </c>
      <c r="F26" s="626">
        <v>0</v>
      </c>
    </row>
    <row r="27" spans="3:6" s="623" customFormat="1" ht="22.5" customHeight="1">
      <c r="C27" s="860"/>
      <c r="D27" s="625" t="s">
        <v>119</v>
      </c>
      <c r="E27" s="626">
        <v>0</v>
      </c>
      <c r="F27" s="626">
        <v>0</v>
      </c>
    </row>
    <row r="28" spans="3:6" s="623" customFormat="1" ht="22.5" customHeight="1">
      <c r="C28" s="861"/>
      <c r="D28" s="625" t="s">
        <v>6</v>
      </c>
      <c r="E28" s="626">
        <f>SUM(E18:E27)</f>
        <v>0</v>
      </c>
      <c r="F28" s="626">
        <f>SUM(F18:F27)</f>
        <v>0</v>
      </c>
    </row>
    <row r="29" spans="3:6" ht="15.75">
      <c r="C29" s="627" t="s">
        <v>327</v>
      </c>
      <c r="D29" s="627"/>
      <c r="E29" s="627"/>
      <c r="F29" s="627"/>
    </row>
  </sheetData>
  <mergeCells count="8">
    <mergeCell ref="C18:C28"/>
    <mergeCell ref="C4:C6"/>
    <mergeCell ref="D4:D6"/>
    <mergeCell ref="C2:F2"/>
    <mergeCell ref="E4:F4"/>
    <mergeCell ref="E3:F3"/>
    <mergeCell ref="E5:F5"/>
    <mergeCell ref="C7:C1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row r="1" spans="1:1">
      <c r="A1">
        <f>48700+27000</f>
        <v>75700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Kharif-2023</vt:lpstr>
      <vt:lpstr>Sheet2 (2)</vt:lpstr>
      <vt:lpstr>Consolidated Rabi -24</vt:lpstr>
      <vt:lpstr>Sheet2</vt:lpstr>
      <vt:lpstr>Sheet3</vt:lpstr>
      <vt:lpstr>Consolidated Rabi -2024</vt:lpstr>
      <vt:lpstr>Consolidated Rabi -24 (3)</vt:lpstr>
      <vt:lpstr>Consolidated Kharif-2024</vt:lpstr>
      <vt:lpstr>Consolidated Rabi -2025</vt:lpstr>
      <vt:lpstr>Soyabean -24</vt:lpstr>
      <vt:lpstr>Soyabean -24 (2)</vt:lpstr>
      <vt:lpstr>Soyabean -24 (3)</vt:lpstr>
      <vt:lpstr>Consolidated Kharif -23 </vt:lpstr>
      <vt:lpstr>Sheet1</vt:lpstr>
      <vt:lpstr>Sheet4</vt:lpstr>
      <vt:lpstr>Sheet5</vt:lpstr>
      <vt:lpstr>'Consolidated Kharif -23 '!Print_Area</vt:lpstr>
      <vt:lpstr>'Consolidated Kharif-2024'!Print_Area</vt:lpstr>
      <vt:lpstr>'Consolidated Rabi -2024'!Print_Area</vt:lpstr>
      <vt:lpstr>'Consolidated Rabi -2025'!Print_Area</vt:lpstr>
      <vt:lpstr>'Consolidated Rabi -24'!Print_Area</vt:lpstr>
      <vt:lpstr>'Consolidated Rabi -24 (3)'!Print_Area</vt:lpstr>
      <vt:lpstr>'Kharif-2023'!Print_Area</vt:lpstr>
      <vt:lpstr>'Soyabean -24'!Print_Area</vt:lpstr>
      <vt:lpstr>'Soyabean -24 (2)'!Print_Area</vt:lpstr>
      <vt:lpstr>'Soyabean -24 (3)'!Print_Area</vt:lpstr>
      <vt:lpstr>'Consolidated Kharif -23 '!Print_Titles</vt:lpstr>
      <vt:lpstr>'Consolidated Kharif-2024'!Print_Titles</vt:lpstr>
      <vt:lpstr>'Consolidated Rabi -2024'!Print_Titles</vt:lpstr>
      <vt:lpstr>'Consolidated Rabi -2025'!Print_Titles</vt:lpstr>
      <vt:lpstr>'Consolidated Rabi -24'!Print_Titles</vt:lpstr>
      <vt:lpstr>'Consolidated Rabi -24 (3)'!Print_Titles</vt:lpstr>
      <vt:lpstr>'Kharif-2023'!Print_Titles</vt:lpstr>
      <vt:lpstr>'Soyabean -24'!Print_Titles</vt:lpstr>
      <vt:lpstr>'Soyabean -24 (2)'!Print_Titles</vt:lpstr>
      <vt:lpstr>'Soyabean -24 (3)'!Print_Titles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2025-04-21T09:27:47Z</dcterms:modified>
</cp:coreProperties>
</file>